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080" tabRatio="934" firstSheet="6" activeTab="9"/>
  </bookViews>
  <sheets>
    <sheet name="Presp por tipo Obra General" sheetId="1" r:id="rId1"/>
    <sheet name="Det. OBRA ALCALDIA  " sheetId="2" r:id="rId2"/>
    <sheet name="Detalle por Obra pJAPON" sheetId="3" r:id="rId3"/>
    <sheet name="DETALLE OBRA HERMANOS" sheetId="4" r:id="rId4"/>
    <sheet name="Detalle Obra APLV" sheetId="5" r:id="rId5"/>
    <sheet name="Presp Puesto Domiciliar" sheetId="6" r:id="rId6"/>
    <sheet name="Costo Transporte" sheetId="7" r:id="rId7"/>
    <sheet name="Deglose de Mano de Obra" sheetId="8" r:id="rId8"/>
    <sheet name="Resumen por tipo de Obra" sheetId="9" r:id="rId9"/>
    <sheet name="COSTO TOTAL PROY" sheetId="10" r:id="rId10"/>
    <sheet name="DISTRIBUICION DE APORTES" sheetId="11" r:id="rId11"/>
    <sheet name="Aporte Japon" sheetId="12" r:id="rId12"/>
    <sheet name="Aporte Comunidad" sheetId="13" r:id="rId13"/>
    <sheet name="presup de letrinas" sheetId="14" r:id="rId14"/>
    <sheet name="consol de Let. Carmen" sheetId="15" r:id="rId15"/>
    <sheet name="APORTE PWE" sheetId="16" r:id="rId16"/>
    <sheet name="Aporte APLV" sheetId="17" r:id="rId17"/>
    <sheet name="Aporte Alcaldia" sheetId="18" r:id="rId18"/>
    <sheet name="Aporte HPLS" sheetId="19" r:id="rId19"/>
  </sheets>
  <externalReferences>
    <externalReference r:id="rId22"/>
    <externalReference r:id="rId23"/>
    <externalReference r:id="rId24"/>
    <externalReference r:id="rId25"/>
  </externalReferences>
  <definedNames>
    <definedName name="_xlnm.Print_Area" localSheetId="12">'Aporte Comunidad'!$A$1:$J$42</definedName>
    <definedName name="_xlnm.Print_Area" localSheetId="11">'Aporte Japon'!$A$4:$I$27</definedName>
    <definedName name="_xlnm.Print_Area" localSheetId="9">'COSTO TOTAL PROY'!$A$1:$D$38</definedName>
    <definedName name="_xlnm.Print_Area" localSheetId="7">'Deglose de Mano de Obra'!$A$1:$L$21</definedName>
    <definedName name="_xlnm.Print_Area" localSheetId="1">'Det. OBRA ALCALDIA  '!$A$1:$G$102</definedName>
    <definedName name="_xlnm.Print_Area" localSheetId="4">'Detalle Obra APLV'!$A$1:$G$83</definedName>
    <definedName name="_xlnm.Print_Area" localSheetId="3">'DETALLE OBRA HERMANOS'!$A$1:$G$69</definedName>
    <definedName name="_xlnm.Print_Area" localSheetId="2">'Detalle por Obra pJAPON'!$A$1:$G$116</definedName>
    <definedName name="_xlnm.Print_Area" localSheetId="10">'DISTRIBUICION DE APORTES'!$A$1:$K$15</definedName>
    <definedName name="_xlnm.Print_Area" localSheetId="0">'Presp por tipo Obra General'!$A$1:$G$287</definedName>
    <definedName name="_xlnm.Print_Area" localSheetId="8">'Resumen por tipo de Obra'!$A$4:$G$26</definedName>
  </definedNames>
  <calcPr fullCalcOnLoad="1"/>
</workbook>
</file>

<file path=xl/sharedStrings.xml><?xml version="1.0" encoding="utf-8"?>
<sst xmlns="http://schemas.openxmlformats.org/spreadsheetml/2006/main" count="1297" uniqueCount="458">
  <si>
    <t>Obra</t>
  </si>
  <si>
    <t>Descripcion</t>
  </si>
  <si>
    <t>Cantidad</t>
  </si>
  <si>
    <t>Unidad</t>
  </si>
  <si>
    <t>Costo Unitario</t>
  </si>
  <si>
    <t>Costo Total</t>
  </si>
  <si>
    <t>Materiales de Construccion</t>
  </si>
  <si>
    <t>unidad</t>
  </si>
  <si>
    <t xml:space="preserve"> </t>
  </si>
  <si>
    <t>Alambre de amarre</t>
  </si>
  <si>
    <t>Tapas Metalicas de 60 x 60 cm</t>
  </si>
  <si>
    <t>Candados</t>
  </si>
  <si>
    <t>Subtotal</t>
  </si>
  <si>
    <t>Materiales</t>
  </si>
  <si>
    <t>Madera de formaleta.</t>
  </si>
  <si>
    <t>Tablas de 1"x 12"x 5 vrs</t>
  </si>
  <si>
    <t>Alfajillas de 2" x 4"x 5 vrs</t>
  </si>
  <si>
    <t>Reglas de 1"x 3" x 5vrs</t>
  </si>
  <si>
    <t>Madera</t>
  </si>
  <si>
    <t>Tuberia (salida-Rebose-Limpieza-Respiradero)</t>
  </si>
  <si>
    <t>Tuberia</t>
  </si>
  <si>
    <t>Accesorios (salida-Rebose-Limpieza-Respiradero)</t>
  </si>
  <si>
    <t>Accesorios</t>
  </si>
  <si>
    <t>Tubería</t>
  </si>
  <si>
    <t>Tuberia PVC SDR 41  2"</t>
  </si>
  <si>
    <t>Reductores PVC 1 ½ x ½"</t>
  </si>
  <si>
    <t>Tee normal PVC 1 ½"</t>
  </si>
  <si>
    <t>Pegamento PVC ¼ gln</t>
  </si>
  <si>
    <t>Materiales de Construccion.</t>
  </si>
  <si>
    <t>Alambre de Amarre</t>
  </si>
  <si>
    <t>Alambre de Pua # 14</t>
  </si>
  <si>
    <t>Grapas</t>
  </si>
  <si>
    <t>Tuberia ( Entrada - Salida- Rebose- Limpieza- Respiradero)</t>
  </si>
  <si>
    <t>Accesorios ( Entrada -Salida-Rebose-Limpieza-Respiradero)</t>
  </si>
  <si>
    <t>Tuberia PVC SDR 26  1"</t>
  </si>
  <si>
    <t>Tuberia PVC SDR 17  3/4"</t>
  </si>
  <si>
    <t>Tuberia PVC SDR 13.5  1/2"</t>
  </si>
  <si>
    <t>Reductores PVC 1 x ¾"</t>
  </si>
  <si>
    <t>Tee normal PVC 1 ¼"</t>
  </si>
  <si>
    <t>Tee normal PVC 1"</t>
  </si>
  <si>
    <t>Tee normal PVC ¾"</t>
  </si>
  <si>
    <t>Tee normal PVC ½"</t>
  </si>
  <si>
    <t>Adaptadores macho ½"</t>
  </si>
  <si>
    <t>Puestos Individuales</t>
  </si>
  <si>
    <t xml:space="preserve">Tuberia </t>
  </si>
  <si>
    <t>Tuberia HG 1/2"</t>
  </si>
  <si>
    <t xml:space="preserve">Accesorios </t>
  </si>
  <si>
    <t>Llaves de Chorro de ½"</t>
  </si>
  <si>
    <t>Camisas HG ½"</t>
  </si>
  <si>
    <t>Drenaje para los puestos</t>
  </si>
  <si>
    <t>Transporte</t>
  </si>
  <si>
    <t>Viaje</t>
  </si>
  <si>
    <t>Viaje de Arena</t>
  </si>
  <si>
    <t>Viaje de Piedrin</t>
  </si>
  <si>
    <t>Viaje de Ladrillo Cuarteron</t>
  </si>
  <si>
    <t xml:space="preserve">Viaje de Tuberia </t>
  </si>
  <si>
    <t>Total</t>
  </si>
  <si>
    <t>Rubro.No</t>
  </si>
  <si>
    <t>Materiales Sanitarios</t>
  </si>
  <si>
    <t>Rubro No</t>
  </si>
  <si>
    <t>Descripción</t>
  </si>
  <si>
    <t>Monto en Cordobas</t>
  </si>
  <si>
    <t>Monto en Dolares</t>
  </si>
  <si>
    <t>-</t>
  </si>
  <si>
    <t xml:space="preserve">Cantidad </t>
  </si>
  <si>
    <t>Dias hombres de trabajo por familia</t>
  </si>
  <si>
    <t>Cuota o valor equivalente por cada familia beneficiada</t>
  </si>
  <si>
    <t>Total en Cordobas</t>
  </si>
  <si>
    <t>Total en Dolares</t>
  </si>
  <si>
    <t>Compra de STOCK de herramientas</t>
  </si>
  <si>
    <t>Costo de la Conexion Domiciliar</t>
  </si>
  <si>
    <t>Ayudantes de albañil</t>
  </si>
  <si>
    <t>Alimentacion</t>
  </si>
  <si>
    <t>Total Contribucion Monetaria</t>
  </si>
  <si>
    <t>Total Contribucion en Mano de Obra</t>
  </si>
  <si>
    <t>TOTAL</t>
  </si>
  <si>
    <t>Cantidad de familias beneficiadas:</t>
  </si>
  <si>
    <t>Valor del dia de trabajo (Al dia)</t>
  </si>
  <si>
    <t>Valor de 1 mt de zanjeo (aterrado)</t>
  </si>
  <si>
    <t xml:space="preserve">Un  servicio de comida </t>
  </si>
  <si>
    <t>Tiempo estimado para la construccion</t>
  </si>
  <si>
    <t>Reductores de Flujo 1/2"</t>
  </si>
  <si>
    <t>Adaptadores macho 1 1/2"</t>
  </si>
  <si>
    <t>Reductores PVC 1 ½ x 1 1/4"</t>
  </si>
  <si>
    <t>Reductores PVC 1 ½ x 1"</t>
  </si>
  <si>
    <t>Reductores PVC 1 ½ x 3/4"</t>
  </si>
  <si>
    <t>Adaptadores macho 1 1/4"</t>
  </si>
  <si>
    <t>Codos H.G. de 90°  1"</t>
  </si>
  <si>
    <t>Redutores 3/4 x 1/2</t>
  </si>
  <si>
    <t>Niples HG de 10 cm</t>
  </si>
  <si>
    <t>mts</t>
  </si>
  <si>
    <t xml:space="preserve">Viaje de Cemento </t>
  </si>
  <si>
    <t>Dias trabajados(albañil)</t>
  </si>
  <si>
    <t>Costo Total de Mano de obra Calificada (C$)</t>
  </si>
  <si>
    <t>Costo Total de Mano de obra Calificada (U$)</t>
  </si>
  <si>
    <t>Costo por dia del albañil</t>
  </si>
  <si>
    <t xml:space="preserve">Construccion de Puestos </t>
  </si>
  <si>
    <t>Reductores PVC 1 1/4" x ½"</t>
  </si>
  <si>
    <t>Reductores PVC 1 1/4" x 1"</t>
  </si>
  <si>
    <t>Adaptadores Hembra ½"</t>
  </si>
  <si>
    <t>Teflon de 3/4"</t>
  </si>
  <si>
    <t>Reduccion Lisa 2 1/2" x 2"</t>
  </si>
  <si>
    <t>Reduccion Lisa 2" x 1 1/2"</t>
  </si>
  <si>
    <t>Tee normal PVC 2 ½"</t>
  </si>
  <si>
    <t>Tee normal PVC 2"</t>
  </si>
  <si>
    <t>Adaptadores macho 2"</t>
  </si>
  <si>
    <t>Adaptadores macho 2 1/2"</t>
  </si>
  <si>
    <t>Tuberia HG 1"</t>
  </si>
  <si>
    <t>Pintura anticorrocibo 1/4 gln</t>
  </si>
  <si>
    <t>Aceite Negro</t>
  </si>
  <si>
    <t>Gln</t>
  </si>
  <si>
    <t>Viaje de Hierro de 3/8 y 1/4" y otros materiales</t>
  </si>
  <si>
    <t>Tuberia PVC SDR 32.5 3"</t>
  </si>
  <si>
    <t>Costo total de albañil</t>
  </si>
  <si>
    <t>Meses</t>
  </si>
  <si>
    <t>Codos PVC de 90º 3"</t>
  </si>
  <si>
    <t>Union Lisa PVC 3"</t>
  </si>
  <si>
    <t>Reduccion Lisa 2" x  1/2"</t>
  </si>
  <si>
    <t>Reductores PVC 1 x 1/2"</t>
  </si>
  <si>
    <t>Caja Para Proteger Medidor</t>
  </si>
  <si>
    <t>Tuberia PVC SDR 26  1-1/4"</t>
  </si>
  <si>
    <t>Tuberia PVC SDR 32.5 1-1/2"</t>
  </si>
  <si>
    <t>Tuberia PVC SDR 26  2"</t>
  </si>
  <si>
    <t>Tuberia PVC SDR 17  2"</t>
  </si>
  <si>
    <t>Codos  Sanitario PVC de 45º 2"</t>
  </si>
  <si>
    <t>Codos HG 90º ½"</t>
  </si>
  <si>
    <t>Reduccion Lisa PVC    2" x 1"</t>
  </si>
  <si>
    <t>Reduccion Lisa PVC    2" x 3/4"</t>
  </si>
  <si>
    <t>Llaves de Pase PVC de ½"</t>
  </si>
  <si>
    <t>MEDIDORES DE AGUA</t>
  </si>
  <si>
    <t>Codos Roscado PVC 90º 1/2"</t>
  </si>
  <si>
    <t>Codos Liso PVC 90º 1/2"</t>
  </si>
  <si>
    <t>m3</t>
  </si>
  <si>
    <t>Total de puestos a construir</t>
  </si>
  <si>
    <t>Embajada de Japon</t>
  </si>
  <si>
    <t>%</t>
  </si>
  <si>
    <t>Presupuesto Total</t>
  </si>
  <si>
    <t>Tuberia PVC SDR 26  2-1/2"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</si>
  <si>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</si>
  <si>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Codos PVC de 90º 2-1/2"</t>
  </si>
  <si>
    <t>Aditivo</t>
  </si>
  <si>
    <t>Sacos</t>
  </si>
  <si>
    <t>Plastico Negro</t>
  </si>
  <si>
    <t>Sellador de Concreto Fino y aspero</t>
  </si>
  <si>
    <t>Bolsas Plasticas</t>
  </si>
  <si>
    <t>Disluyente</t>
  </si>
  <si>
    <t>Brochas 2" y 3"</t>
  </si>
  <si>
    <t>Cedazo Nº 8 y 6</t>
  </si>
  <si>
    <t>Bridas 8"</t>
  </si>
  <si>
    <t>Ladrillo Cuarteron 24 x 12 x 5cm</t>
  </si>
  <si>
    <t>Arena de Motastepe</t>
  </si>
  <si>
    <t>Piedrin triturado 3/4"</t>
  </si>
  <si>
    <t>Cemento Canal</t>
  </si>
  <si>
    <t>Clavos Corrientes de 2-1/2", 3" y 4"</t>
  </si>
  <si>
    <t>Union Lisa PVC 4"</t>
  </si>
  <si>
    <t>Codos PVC de 90º 4"</t>
  </si>
  <si>
    <t>Tuberia PVC SDR 41    4"</t>
  </si>
  <si>
    <t>Costo total</t>
  </si>
  <si>
    <t>Traslado de  materiales a los sitios de construccion</t>
  </si>
  <si>
    <t>Costo de Transporte</t>
  </si>
  <si>
    <t>Mts</t>
  </si>
  <si>
    <t>Cajas para proteger Valvulas de limpieza</t>
  </si>
  <si>
    <t>Cajas de Valvulas de control</t>
  </si>
  <si>
    <t>Camisas HG 1"</t>
  </si>
  <si>
    <t>Cemento Blanco</t>
  </si>
  <si>
    <t>Cemento Rojo</t>
  </si>
  <si>
    <t>Dias de tecnico Residente</t>
  </si>
  <si>
    <t>Supervicion Tecnica</t>
  </si>
  <si>
    <t>Costo de tecnico residente</t>
  </si>
  <si>
    <t>Costo de Supervicion Tecnica</t>
  </si>
  <si>
    <t>Costo por dia de trabajo de tecnico residente</t>
  </si>
  <si>
    <t>Costo por dia de trabajo de Supervisor tecnico</t>
  </si>
  <si>
    <t>Captacion</t>
  </si>
  <si>
    <t>Cajas Rompe Presion</t>
  </si>
  <si>
    <t>Tuberia PVC SDR 17  2-1/2"</t>
  </si>
  <si>
    <t>Tuberia PVC SDR 32.5  2-1/2"</t>
  </si>
  <si>
    <t>Tuberia PVC SDR 32.5  2"</t>
  </si>
  <si>
    <t>4,131</t>
  </si>
  <si>
    <t>Linea de Conduccion MA - CRP#1 ( 4,131 metros)</t>
  </si>
  <si>
    <t>Linea de Conduccion CRP#1 - CRP#2 ( 871 metros)</t>
  </si>
  <si>
    <t>Linea de Conduccion CRP#2 - TP ( 5,888 metros)</t>
  </si>
  <si>
    <t>5,888</t>
  </si>
  <si>
    <t>2,028</t>
  </si>
  <si>
    <t>Linea de Conducción M - CRP1</t>
  </si>
  <si>
    <t>Linea de Conducción CRP1 - CRP2</t>
  </si>
  <si>
    <t>Tanque de Almacenamiento</t>
  </si>
  <si>
    <t>4,131 m</t>
  </si>
  <si>
    <t>871 m</t>
  </si>
  <si>
    <t>Linea de Conducción CRP2 - TP</t>
  </si>
  <si>
    <t>5,888 m</t>
  </si>
  <si>
    <t>Managua - Mongallo</t>
  </si>
  <si>
    <t>Siuna - Mongallo</t>
  </si>
  <si>
    <t>Ciudad Dario - Mongallo</t>
  </si>
  <si>
    <t>Zanjeo de Linea de conduccion  M-CRP1</t>
  </si>
  <si>
    <t>Zanjeo Linea de Conducción CRP1-CRP2</t>
  </si>
  <si>
    <t>Zanjeo Linea de Conducción CRP2-TP</t>
  </si>
  <si>
    <t>Valvulas Sacaaire</t>
  </si>
  <si>
    <t>Aterrado de Linea de conduccion  M-CRP1</t>
  </si>
  <si>
    <t>Aterrado Linea de Conducción CRP1-CRP2</t>
  </si>
  <si>
    <t>Aterrado Linea de Conducción CRP2-TP</t>
  </si>
  <si>
    <t>Zanjeo Red de Distribucion</t>
  </si>
  <si>
    <t>Aterrado Red de Distribucion</t>
  </si>
  <si>
    <t>Instalacion de Medidores</t>
  </si>
  <si>
    <t>Tuberia PVC SDR 41    3"</t>
  </si>
  <si>
    <t>Codos Liso PVC Sanitario de 45º 4"</t>
  </si>
  <si>
    <t>Materiales de Construccion para proteger Tuberia</t>
  </si>
  <si>
    <t>Arena del rio Yaoya</t>
  </si>
  <si>
    <t>Tuberia PVC SDR 32.5  4"</t>
  </si>
  <si>
    <t>Pintura de Aceite  Cubeta</t>
  </si>
  <si>
    <t>Hierro Corrugado stándar de 3/8"</t>
  </si>
  <si>
    <t>Hierro Liso stándar de 1/4"</t>
  </si>
  <si>
    <t>Escofinas</t>
  </si>
  <si>
    <t>Lanilla</t>
  </si>
  <si>
    <t>Guantes</t>
  </si>
  <si>
    <t>Mazos de 10 Lbs</t>
  </si>
  <si>
    <t>Cuñas de Hierro</t>
  </si>
  <si>
    <t>Valvula de Compuerta de Bronce 4"</t>
  </si>
  <si>
    <t>Valvula de Compuerta de Bronce 2"</t>
  </si>
  <si>
    <t>Union  Maleable Mixta de 2" HG</t>
  </si>
  <si>
    <t>Camisas HG 2"</t>
  </si>
  <si>
    <t>Tuberia HG 2"</t>
  </si>
  <si>
    <t>Cruces HG para puentes Vehiculares</t>
  </si>
  <si>
    <t>Tuberia HG 2-1/2"</t>
  </si>
  <si>
    <t>Tuberia HG 1-1/2"</t>
  </si>
  <si>
    <t>Tuberia HG 1-1/4"</t>
  </si>
  <si>
    <t>Codos H.G. de 45°  2-1/2"</t>
  </si>
  <si>
    <t>Codos H.G. de 45°  2"</t>
  </si>
  <si>
    <t>Codos H.G. de 45°  1-1/2"</t>
  </si>
  <si>
    <t>Codos H.G. de 45°  1-1/4"</t>
  </si>
  <si>
    <t>Codos H.G. de 45°  1"</t>
  </si>
  <si>
    <t>Adaptadores macho 1"</t>
  </si>
  <si>
    <t>Union  Maleable Mixta de 1-1/2" HG</t>
  </si>
  <si>
    <t>Union  Maleable Mixta de 1-1/4" HG</t>
  </si>
  <si>
    <t>Union  Maleable Mixta de 1" HG</t>
  </si>
  <si>
    <t>Union  Maleable Mixta de 2-1/2" HG</t>
  </si>
  <si>
    <t>Camisas HG 2-1/2"</t>
  </si>
  <si>
    <t>Camisas HG 1-1/2"</t>
  </si>
  <si>
    <t>Camisas HG 1-1/4"</t>
  </si>
  <si>
    <t>Codos PVC de 45º 2-1/2"</t>
  </si>
  <si>
    <t>Codos PVC de 45º 2"</t>
  </si>
  <si>
    <t>Codos PVC de 45º 1-1/2"</t>
  </si>
  <si>
    <t>Codos PVC de 45º 1-1/4"</t>
  </si>
  <si>
    <t>Codos PVC de 45º 1"</t>
  </si>
  <si>
    <t>Tubería para encamisar terrenos rocosos (1000 metros)</t>
  </si>
  <si>
    <t>Tee normal PVC 3"</t>
  </si>
  <si>
    <t>Tee normal PVC 4"</t>
  </si>
  <si>
    <t>Reduccion Lisa 4" x 3"</t>
  </si>
  <si>
    <t>Reduccion Lisa 3" x 2-1/2"</t>
  </si>
  <si>
    <t>Reduccion Lisa 3" x 2"</t>
  </si>
  <si>
    <t xml:space="preserve"> Red de Distribucion  (22,506 mt )  </t>
  </si>
  <si>
    <t>Materiales /Construccion de Caja Rompe Presión</t>
  </si>
  <si>
    <t>Tuberia PVC SDR 26 1-1/2"</t>
  </si>
  <si>
    <t>Tuberia PVC SDR 17 1-1/2"</t>
  </si>
  <si>
    <t>1 (29 m3)</t>
  </si>
  <si>
    <t>236 ml</t>
  </si>
  <si>
    <t>22,506 ml</t>
  </si>
  <si>
    <t>ml</t>
  </si>
  <si>
    <t>Tipo de Cambio 25 de mayo 2009</t>
  </si>
  <si>
    <t xml:space="preserve">Rubro </t>
  </si>
  <si>
    <t>1000 ml</t>
  </si>
  <si>
    <t>Medidores de Agua</t>
  </si>
  <si>
    <t>Costo total de los Puestos Domiciliares</t>
  </si>
  <si>
    <t>Diluyente</t>
  </si>
  <si>
    <t xml:space="preserve">Costo materiales de construccion </t>
  </si>
  <si>
    <t>Pintura anticorrocivo 1/4 gln</t>
  </si>
  <si>
    <t>Baldes de Zinc</t>
  </si>
  <si>
    <t>Mano de Obra</t>
  </si>
  <si>
    <t xml:space="preserve">Instalacion de Caja Rompe Presion </t>
  </si>
  <si>
    <t>Construccion de Captacion cerrada</t>
  </si>
  <si>
    <t>Instalacion de Tuberia para encamisar terreno rocoso</t>
  </si>
  <si>
    <t>Construccion del Tanque de Almacenamiento</t>
  </si>
  <si>
    <t>Construccion de Red de Distribucion</t>
  </si>
  <si>
    <t>Construccion de Cruces HG para puentes vehiculares</t>
  </si>
  <si>
    <t>Instalacion de Valvulas de control</t>
  </si>
  <si>
    <t>Instalacion de Medidores de agua.</t>
  </si>
  <si>
    <t>Construccion de Puestos Domiciliares</t>
  </si>
  <si>
    <t xml:space="preserve">Gastos Indirectos de Construccion </t>
  </si>
  <si>
    <t>Herramientas.</t>
  </si>
  <si>
    <t>Proyecto Sistema de Abastecimiento de Agua Potable y Saneamiento</t>
  </si>
  <si>
    <t>Transporte de materiales de construccion y sanitarios.</t>
  </si>
  <si>
    <t xml:space="preserve">Mano de Obra </t>
  </si>
  <si>
    <t>Sub total</t>
  </si>
  <si>
    <t xml:space="preserve">Costos Directos: </t>
  </si>
  <si>
    <r>
      <t xml:space="preserve">Comunidades:  </t>
    </r>
    <r>
      <rPr>
        <sz val="12"/>
        <rFont val="Arial"/>
        <family val="2"/>
      </rPr>
      <t>Mongallo y Negrowas</t>
    </r>
  </si>
  <si>
    <r>
      <t xml:space="preserve">Municipio: </t>
    </r>
    <r>
      <rPr>
        <sz val="12"/>
        <rFont val="Arial"/>
        <family val="2"/>
      </rPr>
      <t>Siuna, RAAN</t>
    </r>
  </si>
  <si>
    <r>
      <t xml:space="preserve">Comunidades:  </t>
    </r>
    <r>
      <rPr>
        <sz val="14"/>
        <rFont val="Arial"/>
        <family val="2"/>
      </rPr>
      <t>Mongallo y Negrowas</t>
    </r>
  </si>
  <si>
    <r>
      <t xml:space="preserve">Municipio: </t>
    </r>
    <r>
      <rPr>
        <sz val="14"/>
        <rFont val="Arial"/>
        <family val="2"/>
      </rPr>
      <t>Siuna, RAAN</t>
    </r>
  </si>
  <si>
    <t>Unidad de medida</t>
  </si>
  <si>
    <t>DETALLE DEL PRESUPUESTO DE TRANSPORTE</t>
  </si>
  <si>
    <t>Sub total Materiales Const.</t>
  </si>
  <si>
    <t>Sub total Materiales Sanitarios.</t>
  </si>
  <si>
    <t>Sub total Materiales Construccion.</t>
  </si>
  <si>
    <t>Costo total materiales sanitario</t>
  </si>
  <si>
    <t>Costo total materiales construccion</t>
  </si>
  <si>
    <r>
      <t>Tanque de Almacenamiento de 29 m</t>
    </r>
    <r>
      <rPr>
        <b/>
        <vertAlign val="superscript"/>
        <sz val="12"/>
        <rFont val="Arial"/>
        <family val="2"/>
      </rPr>
      <t>3</t>
    </r>
  </si>
  <si>
    <t>Costo total Materiales Construccion.</t>
  </si>
  <si>
    <t>Cordobas (C$)</t>
  </si>
  <si>
    <t>DETALLE DEL COSTO POR TIPO DE OBRA FISICA</t>
  </si>
  <si>
    <t>No.</t>
  </si>
  <si>
    <t>TOTALES</t>
  </si>
  <si>
    <t>APORTE PRESUPUESTADO SOLICITADO A LA EMBAJADA DE JAPON</t>
  </si>
  <si>
    <t>APORTE DE LA COMUNIDAD</t>
  </si>
  <si>
    <t>Insfraestructura Sanitaria (Letrinas VIP)</t>
  </si>
  <si>
    <t xml:space="preserve">*Sostenibilidad y manejo de la Micro cuenca (Capacitacion sobre medio ambiente, reforestación y obras de conservacion de suelo y agua) </t>
  </si>
  <si>
    <t>Educacion Sanitaria y Ambiental</t>
  </si>
  <si>
    <t>Fortalecimiento al CAPS (Cte. Agua Potable y Saneamiento)</t>
  </si>
  <si>
    <t>Seguimiento Post Proyecto (1 año)</t>
  </si>
  <si>
    <t xml:space="preserve">Costo de Pre-inversion:  Estudio y Diseño de Proyecto. </t>
  </si>
  <si>
    <t>Proyecto Total (Agua Potable, Saneamiento, Ambiental y Salud)</t>
  </si>
  <si>
    <t>Monto en Cordobas C$</t>
  </si>
  <si>
    <t>Monto en Dolares (US$)</t>
  </si>
  <si>
    <t>Alcaldia Municipal</t>
  </si>
  <si>
    <t>Hermanos por la Salud.</t>
  </si>
  <si>
    <t>Monto en Dolares(U$)</t>
  </si>
  <si>
    <t>TCO:</t>
  </si>
  <si>
    <t>Totales</t>
  </si>
  <si>
    <t>DETALLE DEL COSTO DE MANO DE OBRA CALIFICADA</t>
  </si>
  <si>
    <t xml:space="preserve">PRESUPUESTO DE LOS PUESTOS DOMICILIARES </t>
  </si>
  <si>
    <t xml:space="preserve">LINEA DE CONDUCCION </t>
  </si>
  <si>
    <t>PRESUPUESTO SOLICITADO A LA EMBAJADA DE JAPON</t>
  </si>
  <si>
    <t>PRESUPUESTO ALCALDIA MUNICIPAL DE SIUNA</t>
  </si>
  <si>
    <t>APORTE PRESUPUESTADO SOLICITADO A LA ALCALDIA MUNICIPAL DE SIUNA</t>
  </si>
  <si>
    <t>Caja de proteccion de tuberia.</t>
  </si>
  <si>
    <t>Caja de proteccion para tuberia</t>
  </si>
  <si>
    <t>PRESUPUESTO HERMANOS POR LA SALUD</t>
  </si>
  <si>
    <t>Cruces HG para puentes vehiculares</t>
  </si>
  <si>
    <t>APORTE PRESUPUESTADO SOLICITADO A LA ONG HPLS</t>
  </si>
  <si>
    <t>Caja para proteger valvulas de limpieza</t>
  </si>
  <si>
    <t>29 metros</t>
  </si>
  <si>
    <t>225 metros</t>
  </si>
  <si>
    <t>225 m</t>
  </si>
  <si>
    <t>Caja para proteger valvulas de limpieza.</t>
  </si>
  <si>
    <t>225m</t>
  </si>
  <si>
    <t>Materiales para caja rompe presion.</t>
  </si>
  <si>
    <t>Cemento canal</t>
  </si>
  <si>
    <t>bolsas</t>
  </si>
  <si>
    <t>Gastos de Operacion.</t>
  </si>
  <si>
    <t>PRESUPUESTO GENERAL</t>
  </si>
  <si>
    <t>Construccion de 109 Puestos domiciliares (Materiales y mano de obra)</t>
  </si>
  <si>
    <t>50% porciento del costo total.</t>
  </si>
  <si>
    <t>Administración de Proyecto</t>
  </si>
  <si>
    <t>MONTO TOTAL</t>
  </si>
  <si>
    <t>Descripcion de Entidad</t>
  </si>
  <si>
    <t>Rubro</t>
  </si>
  <si>
    <t>Infraestructura de Agua (Materiales, Transporte y Mano de Obra Calificada)</t>
  </si>
  <si>
    <t>Distribucion de los Aportes de Financiamiento por Entidad/Actores Locales</t>
  </si>
  <si>
    <t xml:space="preserve">Materiales de Construccion </t>
  </si>
  <si>
    <t>Materiales Sanitarios (tubería y Accesorios)</t>
  </si>
  <si>
    <t xml:space="preserve">Mano de Obra Calificada </t>
  </si>
  <si>
    <t>COSTO TOTAL DEL PROYECTO</t>
  </si>
  <si>
    <t xml:space="preserve">Suma de Materiales de Construccion </t>
  </si>
  <si>
    <t>Suma de Materiales Sanitarios</t>
  </si>
  <si>
    <t>T.C.O:</t>
  </si>
  <si>
    <t>T.C.O</t>
  </si>
  <si>
    <t>Costos Directos Proyecto de Letrinas</t>
  </si>
  <si>
    <t>Costo total Proyecto de Letrina.</t>
  </si>
  <si>
    <t>Costo Indirectos</t>
  </si>
  <si>
    <t xml:space="preserve">Costo Directos </t>
  </si>
  <si>
    <t>COSTOS TOTAL DEL PROYECTO DE AGUA POTABLE</t>
  </si>
  <si>
    <t>T.C.O.</t>
  </si>
  <si>
    <t>PRESUPUESTO POR RUBRO</t>
  </si>
  <si>
    <t>Monto total</t>
  </si>
  <si>
    <t>Comunidad</t>
  </si>
  <si>
    <t>Agua Para La Vida</t>
  </si>
  <si>
    <t xml:space="preserve">Infraestructura de Agua (Materiales, Transporte y Mano de Obra Calificada), Gastos de Admon, Infraestructura Saneamiento, otros. </t>
  </si>
  <si>
    <t>Aporte a la insfraestructura de Agua (Materiales de construccion y sanitarios)</t>
  </si>
  <si>
    <t>Materiales, Mano de Obra No calificada, acarreo, otros al proyecto de agua.</t>
  </si>
  <si>
    <t>Periodo de construccion: 11 meses</t>
  </si>
  <si>
    <t>Detalle del costo por tipo de obra fisica</t>
  </si>
  <si>
    <t>Caja de proteccion para proteger tuberia</t>
  </si>
  <si>
    <r>
      <t>Imprevistos (</t>
    </r>
    <r>
      <rPr>
        <b/>
        <sz val="12"/>
        <rFont val="Arial"/>
        <family val="2"/>
      </rPr>
      <t>5% del total de C13</t>
    </r>
    <r>
      <rPr>
        <sz val="12"/>
        <rFont val="Arial"/>
        <family val="2"/>
      </rPr>
      <t>)</t>
    </r>
  </si>
  <si>
    <t>COSTO DEL APORTE COMUNITARIO</t>
  </si>
  <si>
    <t>VALOR TOTAL DEL PROYECTO</t>
  </si>
  <si>
    <t>JAPON</t>
  </si>
  <si>
    <t>Alcaldia</t>
  </si>
  <si>
    <t>Hermanos por la Salud</t>
  </si>
  <si>
    <t xml:space="preserve">PRESUPUESTO </t>
  </si>
  <si>
    <t>Proyecto: Letrinificacion</t>
  </si>
  <si>
    <t>Municipio: SIUNA-RAAN</t>
  </si>
  <si>
    <t>Comunidad: MONGALLO/NEGROWAS</t>
  </si>
  <si>
    <t>Presupuesto de Letrinas</t>
  </si>
  <si>
    <t>Con Banco de Fibra de Vidrio</t>
  </si>
  <si>
    <t>Presupuesto de  letrinas.</t>
  </si>
  <si>
    <t>Descripicion</t>
  </si>
  <si>
    <t>Presio Unitario</t>
  </si>
  <si>
    <t>Presio total</t>
  </si>
  <si>
    <t>qq</t>
  </si>
  <si>
    <t>Cemento</t>
  </si>
  <si>
    <t>Arena Local</t>
  </si>
  <si>
    <t>Piedrin</t>
  </si>
  <si>
    <t>Hierro de 1/4"</t>
  </si>
  <si>
    <t>Lbs</t>
  </si>
  <si>
    <t>ZINC LISO 3.28 Leg Glav 1.65 MTS PARA LATERALES</t>
  </si>
  <si>
    <t>Zinc Liso 3  pie x 6 pie</t>
  </si>
  <si>
    <t>Zinc Corrugado # 28 de 3.5 x 5 pie</t>
  </si>
  <si>
    <t>Clavos de Zinc</t>
  </si>
  <si>
    <t xml:space="preserve">Clavos corrientes de  1- 1/2 " </t>
  </si>
  <si>
    <t xml:space="preserve">Clavos corrientes de  2 1/2 " </t>
  </si>
  <si>
    <t xml:space="preserve">Clavos corrientes de 3"  </t>
  </si>
  <si>
    <t xml:space="preserve">Clavos corrientes de 4" </t>
  </si>
  <si>
    <t>Par</t>
  </si>
  <si>
    <t>Visagrad de 4"</t>
  </si>
  <si>
    <t>Banco para letrina fibra de vidrio</t>
  </si>
  <si>
    <t>Tubo PVC 1 1/2"</t>
  </si>
  <si>
    <t>Cedaso o maya fina</t>
  </si>
  <si>
    <t>Tee normal sanitaria  de 1 1/2"</t>
  </si>
  <si>
    <t xml:space="preserve">Mano de obra calificada (hacer una planchas de la letrina) </t>
  </si>
  <si>
    <t>Tachuelas</t>
  </si>
  <si>
    <t>Bloque 4" (  Mano de obra hacer un bloque  de 4")</t>
  </si>
  <si>
    <t>dias</t>
  </si>
  <si>
    <t>Construccion de letrina demostrativa (2)</t>
  </si>
  <si>
    <t>Viaje de Cemento</t>
  </si>
  <si>
    <t>Siuna -Mongallo</t>
  </si>
  <si>
    <t>Viaje de piedrin</t>
  </si>
  <si>
    <t xml:space="preserve">Viaje de arena </t>
  </si>
  <si>
    <t>Viaje con banco de fibra</t>
  </si>
  <si>
    <t>Esteli -Mongallo</t>
  </si>
  <si>
    <t>Viaje de hierro y otros</t>
  </si>
  <si>
    <t>Costo Total de Transporte</t>
  </si>
  <si>
    <t>CALCULO AUTOMATICO DE MADERA PARA LETRINAS</t>
  </si>
  <si>
    <t>Docena</t>
  </si>
  <si>
    <t>Pilares para letrinas  2.5"x 2.5"x 2.5 vrs</t>
  </si>
  <si>
    <t>Alfajilla para Laterales fondo y frente 2"x 2"x 3 vrs</t>
  </si>
  <si>
    <t>Parales para puerta 2"x 2"x 2.5vrs</t>
  </si>
  <si>
    <t>Reglas para techo 4"x1"x3vrs</t>
  </si>
  <si>
    <r>
      <t>m</t>
    </r>
    <r>
      <rPr>
        <vertAlign val="superscript"/>
        <sz val="10"/>
        <rFont val="Arial"/>
        <family val="2"/>
      </rPr>
      <t>3</t>
    </r>
  </si>
  <si>
    <t>PROYECTO DE LETRINIFICACION</t>
  </si>
  <si>
    <t xml:space="preserve">  Presupuesto - Consolidado Global de letrinas</t>
  </si>
  <si>
    <t>Acarreo de materiales.</t>
  </si>
  <si>
    <t>Materiales  sanitarios</t>
  </si>
  <si>
    <t>Total costos de materiales</t>
  </si>
  <si>
    <t>Mano de Obra calificada</t>
  </si>
  <si>
    <t>Total Costo de Proyecto</t>
  </si>
  <si>
    <t>Analisis de Costo Beneficios</t>
  </si>
  <si>
    <t xml:space="preserve">Concepto </t>
  </si>
  <si>
    <t>A-  Families beneficiadas</t>
  </si>
  <si>
    <t>B-  Personas Beneficiadas</t>
  </si>
  <si>
    <t>Costo Beneficio</t>
  </si>
  <si>
    <t>Valores</t>
  </si>
  <si>
    <t>Costo por familia</t>
  </si>
  <si>
    <t>Costo por persona</t>
  </si>
  <si>
    <t>Gastos Generales</t>
  </si>
  <si>
    <t>Viaticos</t>
  </si>
  <si>
    <t>Vehiculo de Rio a Mongallo</t>
  </si>
  <si>
    <t>Informes contables</t>
  </si>
  <si>
    <t>Costos Directos: 63 LETRINAS</t>
  </si>
  <si>
    <t xml:space="preserve">Educacion Sanitaria </t>
  </si>
  <si>
    <t>Educacion Sanit.</t>
  </si>
  <si>
    <t>APORTE DE AGUA PARA LA VIDA (APLV)</t>
  </si>
  <si>
    <t>APLV</t>
  </si>
  <si>
    <t>50 % del costo del Puesto domiciliar</t>
  </si>
  <si>
    <t>El otro 50% porciento lo paga la familia.</t>
  </si>
  <si>
    <t>Imprevistos (5%)</t>
  </si>
  <si>
    <t>OJO FALTAN LOS 2800 DEL AUDITOR NO SE ENREDEN OK.</t>
  </si>
  <si>
    <t xml:space="preserve">CONVENIO FINAL </t>
  </si>
  <si>
    <t>Esta es la diferencia que no va pagar va pagar HPS solo va dar 5000 y no 5228.00.</t>
  </si>
  <si>
    <t>APORTE PRESUPUESTADO SOLICITADO A PEER WATER EXCHANGE</t>
  </si>
  <si>
    <t>PEER WATER EXCHANGE</t>
  </si>
</sst>
</file>

<file path=xl/styles.xml><?xml version="1.0" encoding="utf-8"?>
<styleSheet xmlns="http://schemas.openxmlformats.org/spreadsheetml/2006/main">
  <numFmts count="72">
    <numFmt numFmtId="5" formatCode="&quot;C$&quot;\ #,##0;&quot;C$&quot;\ \-#,##0"/>
    <numFmt numFmtId="6" formatCode="&quot;C$&quot;\ #,##0;[Red]&quot;C$&quot;\ \-#,##0"/>
    <numFmt numFmtId="7" formatCode="&quot;C$&quot;\ #,##0.00;&quot;C$&quot;\ \-#,##0.00"/>
    <numFmt numFmtId="8" formatCode="&quot;C$&quot;\ #,##0.00;[Red]&quot;C$&quot;\ \-#,##0.00"/>
    <numFmt numFmtId="42" formatCode="_ &quot;C$&quot;\ * #,##0_ ;_ &quot;C$&quot;\ * \-#,##0_ ;_ &quot;C$&quot;\ * &quot;-&quot;_ ;_ @_ "/>
    <numFmt numFmtId="41" formatCode="_ * #,##0_ ;_ * \-#,##0_ ;_ * &quot;-&quot;_ ;_ @_ "/>
    <numFmt numFmtId="44" formatCode="_ &quot;C$&quot;\ * #,##0.00_ ;_ &quot;C$&quot;\ * \-#,##0.00_ ;_ &quot;C$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-* #,##0.00\ &quot;F&quot;_-;\-* #,##0.00\ &quot;F&quot;_-;_-* &quot;-&quot;??\ &quot;F&quot;_-;_-@_-"/>
    <numFmt numFmtId="169" formatCode="_(&quot;C$&quot;* #,##0.00_);_(&quot;C$&quot;* \(#,##0.00\);_(&quot;C$&quot;* &quot;-&quot;??_);_(@_)"/>
    <numFmt numFmtId="170" formatCode="&quot;C$&quot;#,##0.00;[Red]&quot;C$&quot;#,##0.00"/>
    <numFmt numFmtId="171" formatCode="0.0"/>
    <numFmt numFmtId="172" formatCode="0.000"/>
    <numFmt numFmtId="173" formatCode="&quot;C$&quot;#,##0.00"/>
    <numFmt numFmtId="174" formatCode="#,##0.00;[Red]#,##0.00"/>
    <numFmt numFmtId="175" formatCode="&quot;U$&quot;#,##0.00;[Red]&quot;C$&quot;#,##0.00"/>
    <numFmt numFmtId="176" formatCode="\C&quot;$&quot;#,##0_);\(&quot;$&quot;#,##0\)"/>
    <numFmt numFmtId="177" formatCode="\C&quot;$&quot;#,##0.00_);\(&quot;$&quot;#,##0.00\)"/>
    <numFmt numFmtId="178" formatCode="[$$-409]#,##0.00"/>
    <numFmt numFmtId="179" formatCode="&quot;C$&quot;#,##0;[Red]&quot;C$&quot;#,##0"/>
    <numFmt numFmtId="180" formatCode="_(&quot;C$&quot;* #,##0.0_);_(&quot;C$&quot;* \(#,##0.0\);_(&quot;C$&quot;* &quot;-&quot;??_);_(@_)"/>
    <numFmt numFmtId="181" formatCode="#,##0.0"/>
    <numFmt numFmtId="182" formatCode="0.0%"/>
    <numFmt numFmtId="183" formatCode="&quot;C$&quot;\ #,##0.00"/>
    <numFmt numFmtId="184" formatCode="&quot;U$&quot;#,##0;[Red]&quot;C$&quot;#,##0"/>
    <numFmt numFmtId="185" formatCode="_-[$$-409]* #,##0.00_ ;_-[$$-409]* \-#,##0.00\ ;_-[$$-409]* &quot;-&quot;??_ ;_-@_ "/>
    <numFmt numFmtId="186" formatCode="_ [$C$-4C0A]\ * #,##0.00_ ;_ [$C$-4C0A]\ * \-#,##0.00_ ;_ [$C$-4C0A]\ * &quot;-&quot;??_ ;_ @_ "/>
    <numFmt numFmtId="187" formatCode="_ [$C$-4C0A]\ * #,##0_ ;_ [$C$-4C0A]\ * \-#,##0_ ;_ [$C$-4C0A]\ * &quot;-&quot;??_ ;_ @_ "/>
    <numFmt numFmtId="188" formatCode="_-[$$-409]* #,##0_ ;_-[$$-409]* \-#,##0\ ;_-[$$-409]* &quot;-&quot;_ ;_-@_ "/>
    <numFmt numFmtId="189" formatCode="_ [$C$-4C0A]\ * #,##0_ ;_ [$C$-4C0A]\ * \-#,##0_ ;_ [$C$-4C0A]\ * &quot;-&quot;_ ;_ @_ "/>
    <numFmt numFmtId="190" formatCode="_-[$$-409]* #,##0_ ;_-[$$-409]* \-#,##0\ ;_-[$$-409]* &quot;-&quot;??_ ;_-@_ "/>
    <numFmt numFmtId="191" formatCode="_-[$$-409]* #,##0.0_ ;_-[$$-409]* \-#,##0.0\ ;_-[$$-409]* &quot;-&quot;_ ;_-@_ "/>
    <numFmt numFmtId="192" formatCode="_-[$$-409]* #,##0.00_ ;_-[$$-409]* \-#,##0.00\ ;_-[$$-409]* &quot;-&quot;_ ;_-@_ "/>
    <numFmt numFmtId="193" formatCode="_ &quot;C$&quot;\ * #,##0_ ;_ &quot;C$&quot;\ * \-#,##0_ ;_ &quot;C$&quot;\ * &quot;-&quot;??_ ;_ @_ "/>
    <numFmt numFmtId="194" formatCode="0.00000"/>
    <numFmt numFmtId="195" formatCode="_ [$C$-4C0A]\ * #,##0.0_ ;_ [$C$-4C0A]\ * \-#,##0.0_ ;_ [$C$-4C0A]\ * &quot;-&quot;??_ ;_ @_ "/>
    <numFmt numFmtId="196" formatCode="&quot;U$&quot;#,##0.00000;[Red]&quot;C$&quot;#,##0.00000"/>
    <numFmt numFmtId="197" formatCode="_ [$C$-4C0A]\ * #,##0.0000000_ ;_ [$C$-4C0A]\ * \-#,##0.0000000_ ;_ [$C$-4C0A]\ * &quot;-&quot;??_ ;_ @_ "/>
    <numFmt numFmtId="198" formatCode="#.#;[Red]#.#"/>
    <numFmt numFmtId="199" formatCode="_ &quot;C$&quot;\ * #_ ;_ &quot;C$&quot;\ * \-#_ ;_ &quot;C$&quot;\ * &quot;-&quot;??_ ;_ @_ "/>
    <numFmt numFmtId="200" formatCode="_ &quot;$&quot;\ * #.0.;_ &quot;$&quot;\ * \-#.0.;_ &quot;$&quot;\ * &quot;-&quot;??_ ;_ @_ⴆ"/>
    <numFmt numFmtId="201" formatCode="_-[$$-409]* #.;_-[$$-409]* \-#.;_-[$$-409]* &quot;-&quot;??_ ;_-@_ⴆ"/>
    <numFmt numFmtId="202" formatCode="&quot;$&quot;\ #"/>
    <numFmt numFmtId="203" formatCode="_ &quot;$&quot;\ * #.;_ &quot;$&quot;\ * \-#.;_ &quot;$&quot;\ * &quot;-&quot;??_ ;_ @_ⴆ"/>
    <numFmt numFmtId="204" formatCode="&quot;$US &quot;#,##0;[Red]&quot;C$&quot;#,##0"/>
    <numFmt numFmtId="205" formatCode="_(&quot;C$&quot;* #,##0_);_(&quot;C$&quot;* \(#,##0\);_(&quot;C$&quot;* &quot;-&quot;??_);_(@_)"/>
    <numFmt numFmtId="206" formatCode="[$$-409]#,##0.0"/>
    <numFmt numFmtId="207" formatCode="[$$-409]#,##0"/>
    <numFmt numFmtId="208" formatCode="0.0000"/>
    <numFmt numFmtId="209" formatCode="_ [$C$-4C0A]\ * #,##0.0_ ;_ [$C$-4C0A]\ * \-#,##0.0_ ;_ [$C$-4C0A]\ * &quot;-&quot;?_ ;_ @_ "/>
    <numFmt numFmtId="210" formatCode="_ * #,##0.000_ ;_ * \-#,##0.000_ ;_ * &quot;-&quot;???_ ;_ @_ 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_ * #,##0.0000_ ;_ * \-#,##0.0000_ ;_ * &quot;-&quot;????_ ;_ @_ "/>
    <numFmt numFmtId="216" formatCode="_ &quot;C$&quot;\ * #,##0.0_ ;_ &quot;C$&quot;\ * \-#,##0.0_ ;_ &quot;C$&quot;\ * &quot;-&quot;??_ ;_ @_ "/>
    <numFmt numFmtId="217" formatCode="&quot;C$&quot;\ #,##0"/>
    <numFmt numFmtId="218" formatCode="#,##0.0000"/>
    <numFmt numFmtId="219" formatCode="&quot;C$&quot;\ #,##0.0000"/>
    <numFmt numFmtId="220" formatCode="[$$-409]#,##0_ ;\-[$$-409]#,##0\ "/>
    <numFmt numFmtId="221" formatCode="_ * #,##0.0_ ;_ * \-#,##0.0_ ;_ * &quot;-&quot;??_ ;_ @_ "/>
    <numFmt numFmtId="222" formatCode="_ * #,##0_ ;_ * \-#,##0_ ;_ * &quot;-&quot;??_ ;_ @_ "/>
    <numFmt numFmtId="223" formatCode="_ &quot;C$&quot;\ * #,##0.0000_ ;_ &quot;C$&quot;\ * \-#,##0.0000_ ;_ &quot;C$&quot;\ * &quot;-&quot;????_ ;_ @_ "/>
    <numFmt numFmtId="224" formatCode="&quot;C$&quot;#,##0.0;[Red]&quot;C$&quot;#,##0.0"/>
    <numFmt numFmtId="225" formatCode="_ [$C$-4C0A]\ * #,##0.0000_ ;_ [$C$-4C0A]\ * \-#,##0.0000_ ;_ [$C$-4C0A]\ * &quot;-&quot;????_ ;_ @_ "/>
    <numFmt numFmtId="226" formatCode="_ &quot;$&quot;\ * #.00.;_ &quot;$&quot;\ * \-#.00.;_ &quot;$&quot;\ * &quot;-&quot;??_ ;_ @_ⴆ"/>
    <numFmt numFmtId="227" formatCode="_-[$$-409]* #,##0.0000_ ;_-[$$-409]* \-#,##0.0000\ ;_-[$$-409]* &quot;-&quot;????_ ;_-@_ 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Book Antiqua"/>
      <family val="1"/>
    </font>
    <font>
      <sz val="12"/>
      <name val="Book Antiqua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9"/>
      <name val="Book Antiqua"/>
      <family val="1"/>
    </font>
    <font>
      <sz val="9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color indexed="10"/>
      <name val="Book Antiqua"/>
      <family val="1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name val="Book Antiqua"/>
      <family val="1"/>
    </font>
    <font>
      <b/>
      <u val="single"/>
      <sz val="12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name val="Book Antiqua"/>
      <family val="1"/>
    </font>
    <font>
      <b/>
      <sz val="14"/>
      <name val="Book Antiqua"/>
      <family val="1"/>
    </font>
    <font>
      <b/>
      <sz val="22"/>
      <color indexed="10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6" borderId="0" applyNumberFormat="0" applyBorder="0" applyAlignment="0" applyProtection="0"/>
    <xf numFmtId="0" fontId="16" fillId="11" borderId="1" applyNumberFormat="0" applyAlignment="0" applyProtection="0"/>
    <xf numFmtId="0" fontId="17" fillId="12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20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3" fillId="11" borderId="5" applyNumberFormat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</cellStyleXfs>
  <cellXfs count="64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18" borderId="0" xfId="0" applyFont="1" applyFill="1" applyAlignment="1">
      <alignment/>
    </xf>
    <xf numFmtId="3" fontId="0" fillId="0" borderId="0" xfId="0" applyNumberFormat="1" applyAlignment="1">
      <alignment/>
    </xf>
    <xf numFmtId="0" fontId="29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171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0" fontId="29" fillId="18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/>
    </xf>
    <xf numFmtId="170" fontId="33" fillId="0" borderId="0" xfId="0" applyNumberFormat="1" applyFont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right"/>
    </xf>
    <xf numFmtId="1" fontId="33" fillId="0" borderId="0" xfId="0" applyNumberFormat="1" applyFont="1" applyAlignment="1">
      <alignment horizontal="center"/>
    </xf>
    <xf numFmtId="2" fontId="3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3" fontId="4" fillId="0" borderId="10" xfId="50" applyNumberFormat="1" applyFont="1" applyFill="1" applyBorder="1" applyAlignment="1">
      <alignment horizontal="right"/>
    </xf>
    <xf numFmtId="3" fontId="29" fillId="0" borderId="0" xfId="0" applyNumberFormat="1" applyFont="1" applyAlignment="1">
      <alignment horizontal="center"/>
    </xf>
    <xf numFmtId="3" fontId="33" fillId="0" borderId="0" xfId="0" applyNumberFormat="1" applyFont="1" applyAlignment="1">
      <alignment/>
    </xf>
    <xf numFmtId="3" fontId="33" fillId="0" borderId="0" xfId="0" applyNumberFormat="1" applyFont="1" applyAlignment="1">
      <alignment horizontal="right"/>
    </xf>
    <xf numFmtId="3" fontId="29" fillId="0" borderId="0" xfId="0" applyNumberFormat="1" applyFont="1" applyAlignment="1">
      <alignment/>
    </xf>
    <xf numFmtId="3" fontId="33" fillId="0" borderId="0" xfId="0" applyNumberFormat="1" applyFont="1" applyFill="1" applyAlignment="1">
      <alignment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29" fillId="0" borderId="0" xfId="0" applyNumberFormat="1" applyFont="1" applyFill="1" applyAlignment="1">
      <alignment/>
    </xf>
    <xf numFmtId="3" fontId="31" fillId="0" borderId="0" xfId="0" applyNumberFormat="1" applyFont="1" applyAlignment="1">
      <alignment/>
    </xf>
    <xf numFmtId="3" fontId="33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3" fontId="4" fillId="0" borderId="0" xfId="50" applyNumberFormat="1" applyFont="1" applyAlignment="1">
      <alignment/>
    </xf>
    <xf numFmtId="0" fontId="4" fillId="0" borderId="0" xfId="0" applyFont="1" applyFill="1" applyAlignment="1">
      <alignment/>
    </xf>
    <xf numFmtId="3" fontId="7" fillId="0" borderId="0" xfId="50" applyNumberFormat="1" applyFont="1" applyAlignment="1">
      <alignment/>
    </xf>
    <xf numFmtId="2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" fontId="1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4" fillId="0" borderId="0" xfId="5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7" fillId="18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4" fillId="18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center"/>
    </xf>
    <xf numFmtId="3" fontId="29" fillId="0" borderId="11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3" fontId="4" fillId="0" borderId="12" xfId="5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5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4" fillId="11" borderId="10" xfId="5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centerContinuous"/>
    </xf>
    <xf numFmtId="3" fontId="7" fillId="5" borderId="14" xfId="50" applyNumberFormat="1" applyFont="1" applyFill="1" applyBorder="1" applyAlignment="1">
      <alignment horizontal="right"/>
    </xf>
    <xf numFmtId="217" fontId="7" fillId="5" borderId="14" xfId="50" applyNumberFormat="1" applyFont="1" applyFill="1" applyBorder="1" applyAlignment="1">
      <alignment horizontal="right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19" borderId="16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3" fontId="4" fillId="0" borderId="20" xfId="0" applyNumberFormat="1" applyFont="1" applyBorder="1" applyAlignment="1">
      <alignment horizontal="center"/>
    </xf>
    <xf numFmtId="190" fontId="4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69" fontId="0" fillId="0" borderId="0" xfId="50" applyNumberFormat="1" applyFont="1" applyAlignment="1">
      <alignment/>
    </xf>
    <xf numFmtId="205" fontId="0" fillId="0" borderId="0" xfId="50" applyNumberFormat="1" applyFont="1" applyAlignment="1">
      <alignment/>
    </xf>
    <xf numFmtId="2" fontId="0" fillId="0" borderId="0" xfId="0" applyNumberFormat="1" applyFont="1" applyAlignment="1">
      <alignment horizontal="center"/>
    </xf>
    <xf numFmtId="44" fontId="0" fillId="0" borderId="0" xfId="0" applyNumberFormat="1" applyFont="1" applyAlignment="1">
      <alignment/>
    </xf>
    <xf numFmtId="205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205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187" fontId="4" fillId="0" borderId="0" xfId="0" applyNumberFormat="1" applyFont="1" applyBorder="1" applyAlignment="1">
      <alignment/>
    </xf>
    <xf numFmtId="186" fontId="0" fillId="0" borderId="0" xfId="0" applyNumberFormat="1" applyFont="1" applyAlignment="1">
      <alignment/>
    </xf>
    <xf numFmtId="190" fontId="7" fillId="0" borderId="0" xfId="5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3" fontId="7" fillId="5" borderId="21" xfId="50" applyNumberFormat="1" applyFont="1" applyFill="1" applyBorder="1" applyAlignment="1">
      <alignment horizontal="right"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18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22" xfId="5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" fontId="7" fillId="0" borderId="0" xfId="50" applyNumberFormat="1" applyFont="1" applyBorder="1" applyAlignment="1">
      <alignment horizontal="right"/>
    </xf>
    <xf numFmtId="169" fontId="4" fillId="0" borderId="0" xfId="50" applyNumberFormat="1" applyFont="1" applyAlignment="1">
      <alignment/>
    </xf>
    <xf numFmtId="205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23" xfId="0" applyFont="1" applyBorder="1" applyAlignment="1">
      <alignment/>
    </xf>
    <xf numFmtId="193" fontId="4" fillId="0" borderId="23" xfId="0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193" fontId="4" fillId="0" borderId="25" xfId="0" applyNumberFormat="1" applyFont="1" applyFill="1" applyBorder="1" applyAlignment="1">
      <alignment/>
    </xf>
    <xf numFmtId="0" fontId="4" fillId="0" borderId="26" xfId="0" applyFont="1" applyBorder="1" applyAlignment="1">
      <alignment/>
    </xf>
    <xf numFmtId="193" fontId="4" fillId="0" borderId="0" xfId="0" applyNumberFormat="1" applyFont="1" applyFill="1" applyBorder="1" applyAlignment="1">
      <alignment/>
    </xf>
    <xf numFmtId="193" fontId="4" fillId="0" borderId="27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11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18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18" borderId="10" xfId="0" applyFont="1" applyFill="1" applyBorder="1" applyAlignment="1">
      <alignment/>
    </xf>
    <xf numFmtId="0" fontId="4" fillId="18" borderId="10" xfId="0" applyFont="1" applyFill="1" applyBorder="1" applyAlignment="1">
      <alignment horizontal="center"/>
    </xf>
    <xf numFmtId="171" fontId="4" fillId="18" borderId="10" xfId="0" applyNumberFormat="1" applyFont="1" applyFill="1" applyBorder="1" applyAlignment="1">
      <alignment horizontal="center"/>
    </xf>
    <xf numFmtId="187" fontId="4" fillId="18" borderId="10" xfId="50" applyNumberFormat="1" applyFont="1" applyFill="1" applyBorder="1" applyAlignment="1">
      <alignment horizontal="center"/>
    </xf>
    <xf numFmtId="187" fontId="4" fillId="18" borderId="10" xfId="50" applyNumberFormat="1" applyFont="1" applyFill="1" applyBorder="1" applyAlignment="1">
      <alignment/>
    </xf>
    <xf numFmtId="190" fontId="4" fillId="18" borderId="29" xfId="50" applyNumberFormat="1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187" fontId="4" fillId="0" borderId="10" xfId="50" applyNumberFormat="1" applyFont="1" applyBorder="1" applyAlignment="1">
      <alignment horizontal="center"/>
    </xf>
    <xf numFmtId="187" fontId="4" fillId="0" borderId="10" xfId="50" applyNumberFormat="1" applyFont="1" applyBorder="1" applyAlignment="1">
      <alignment/>
    </xf>
    <xf numFmtId="190" fontId="4" fillId="0" borderId="29" xfId="50" applyNumberFormat="1" applyFont="1" applyBorder="1" applyAlignment="1">
      <alignment/>
    </xf>
    <xf numFmtId="0" fontId="8" fillId="0" borderId="10" xfId="0" applyFont="1" applyBorder="1" applyAlignment="1">
      <alignment/>
    </xf>
    <xf numFmtId="187" fontId="7" fillId="0" borderId="10" xfId="5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1" fontId="7" fillId="0" borderId="31" xfId="0" applyNumberFormat="1" applyFont="1" applyBorder="1" applyAlignment="1">
      <alignment horizontal="center"/>
    </xf>
    <xf numFmtId="170" fontId="4" fillId="0" borderId="0" xfId="50" applyNumberFormat="1" applyFont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7" fontId="4" fillId="0" borderId="10" xfId="50" applyNumberFormat="1" applyFont="1" applyFill="1" applyBorder="1" applyAlignment="1">
      <alignment horizontal="center"/>
    </xf>
    <xf numFmtId="187" fontId="4" fillId="0" borderId="10" xfId="50" applyNumberFormat="1" applyFont="1" applyFill="1" applyBorder="1" applyAlignment="1">
      <alignment/>
    </xf>
    <xf numFmtId="190" fontId="4" fillId="0" borderId="29" xfId="5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 wrapText="1"/>
    </xf>
    <xf numFmtId="1" fontId="7" fillId="0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left"/>
    </xf>
    <xf numFmtId="198" fontId="4" fillId="0" borderId="0" xfId="0" applyNumberFormat="1" applyFont="1" applyAlignment="1">
      <alignment/>
    </xf>
    <xf numFmtId="4" fontId="7" fillId="5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207" fontId="29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90" fontId="0" fillId="0" borderId="0" xfId="0" applyNumberFormat="1" applyAlignment="1">
      <alignment/>
    </xf>
    <xf numFmtId="0" fontId="4" fillId="0" borderId="35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7" fillId="0" borderId="35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8" fillId="0" borderId="0" xfId="0" applyFont="1" applyAlignment="1">
      <alignment/>
    </xf>
    <xf numFmtId="0" fontId="4" fillId="5" borderId="36" xfId="0" applyFont="1" applyFill="1" applyBorder="1" applyAlignment="1">
      <alignment/>
    </xf>
    <xf numFmtId="190" fontId="7" fillId="5" borderId="21" xfId="50" applyNumberFormat="1" applyFont="1" applyFill="1" applyBorder="1" applyAlignment="1">
      <alignment/>
    </xf>
    <xf numFmtId="187" fontId="7" fillId="0" borderId="10" xfId="50" applyNumberFormat="1" applyFont="1" applyBorder="1" applyAlignment="1">
      <alignment/>
    </xf>
    <xf numFmtId="190" fontId="7" fillId="0" borderId="29" xfId="50" applyNumberFormat="1" applyFont="1" applyBorder="1" applyAlignment="1">
      <alignment/>
    </xf>
    <xf numFmtId="190" fontId="7" fillId="0" borderId="37" xfId="50" applyNumberFormat="1" applyFont="1" applyBorder="1" applyAlignment="1">
      <alignment/>
    </xf>
    <xf numFmtId="0" fontId="7" fillId="0" borderId="38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 wrapText="1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7" fillId="12" borderId="14" xfId="0" applyFont="1" applyFill="1" applyBorder="1" applyAlignment="1">
      <alignment horizontal="right"/>
    </xf>
    <xf numFmtId="0" fontId="4" fillId="12" borderId="14" xfId="0" applyFont="1" applyFill="1" applyBorder="1" applyAlignment="1">
      <alignment/>
    </xf>
    <xf numFmtId="3" fontId="7" fillId="12" borderId="14" xfId="50" applyNumberFormat="1" applyFont="1" applyFill="1" applyBorder="1" applyAlignment="1">
      <alignment horizontal="right"/>
    </xf>
    <xf numFmtId="207" fontId="0" fillId="0" borderId="0" xfId="0" applyNumberFormat="1" applyAlignment="1">
      <alignment/>
    </xf>
    <xf numFmtId="0" fontId="7" fillId="2" borderId="35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right"/>
    </xf>
    <xf numFmtId="217" fontId="0" fillId="0" borderId="0" xfId="0" applyNumberFormat="1" applyFont="1" applyAlignment="1">
      <alignment/>
    </xf>
    <xf numFmtId="170" fontId="29" fillId="0" borderId="0" xfId="0" applyNumberFormat="1" applyFont="1" applyAlignment="1">
      <alignment/>
    </xf>
    <xf numFmtId="42" fontId="4" fillId="0" borderId="10" xfId="0" applyNumberFormat="1" applyFont="1" applyBorder="1" applyAlignment="1">
      <alignment/>
    </xf>
    <xf numFmtId="43" fontId="0" fillId="0" borderId="0" xfId="0" applyNumberFormat="1" applyAlignment="1">
      <alignment/>
    </xf>
    <xf numFmtId="222" fontId="4" fillId="5" borderId="16" xfId="50" applyNumberFormat="1" applyFont="1" applyFill="1" applyBorder="1" applyAlignment="1">
      <alignment horizontal="right"/>
    </xf>
    <xf numFmtId="222" fontId="4" fillId="5" borderId="17" xfId="50" applyNumberFormat="1" applyFont="1" applyFill="1" applyBorder="1" applyAlignment="1">
      <alignment horizontal="right"/>
    </xf>
    <xf numFmtId="222" fontId="4" fillId="5" borderId="10" xfId="50" applyNumberFormat="1" applyFont="1" applyFill="1" applyBorder="1" applyAlignment="1">
      <alignment horizontal="right"/>
    </xf>
    <xf numFmtId="222" fontId="4" fillId="5" borderId="39" xfId="50" applyNumberFormat="1" applyFont="1" applyFill="1" applyBorder="1" applyAlignment="1">
      <alignment horizontal="right"/>
    </xf>
    <xf numFmtId="42" fontId="7" fillId="12" borderId="14" xfId="50" applyNumberFormat="1" applyFont="1" applyFill="1" applyBorder="1" applyAlignment="1">
      <alignment horizontal="right"/>
    </xf>
    <xf numFmtId="42" fontId="0" fillId="0" borderId="10" xfId="50" applyNumberFormat="1" applyFont="1" applyBorder="1" applyAlignment="1">
      <alignment horizontal="right"/>
    </xf>
    <xf numFmtId="42" fontId="0" fillId="11" borderId="10" xfId="50" applyNumberFormat="1" applyFont="1" applyFill="1" applyBorder="1" applyAlignment="1">
      <alignment horizontal="right"/>
    </xf>
    <xf numFmtId="42" fontId="0" fillId="0" borderId="22" xfId="50" applyNumberFormat="1" applyFont="1" applyBorder="1" applyAlignment="1">
      <alignment horizontal="right"/>
    </xf>
    <xf numFmtId="42" fontId="0" fillId="0" borderId="22" xfId="50" applyNumberFormat="1" applyFont="1" applyFill="1" applyBorder="1" applyAlignment="1">
      <alignment horizontal="right"/>
    </xf>
    <xf numFmtId="42" fontId="0" fillId="0" borderId="10" xfId="50" applyNumberFormat="1" applyFont="1" applyFill="1" applyBorder="1" applyAlignment="1">
      <alignment horizontal="right"/>
    </xf>
    <xf numFmtId="188" fontId="0" fillId="0" borderId="29" xfId="50" applyNumberFormat="1" applyFont="1" applyBorder="1" applyAlignment="1">
      <alignment horizontal="right"/>
    </xf>
    <xf numFmtId="188" fontId="0" fillId="0" borderId="29" xfId="50" applyNumberFormat="1" applyFont="1" applyFill="1" applyBorder="1" applyAlignment="1">
      <alignment horizontal="right"/>
    </xf>
    <xf numFmtId="188" fontId="7" fillId="12" borderId="21" xfId="50" applyNumberFormat="1" applyFont="1" applyFill="1" applyBorder="1" applyAlignment="1">
      <alignment horizontal="right"/>
    </xf>
    <xf numFmtId="222" fontId="4" fillId="0" borderId="0" xfId="0" applyNumberFormat="1" applyFont="1" applyFill="1" applyBorder="1" applyAlignment="1">
      <alignment/>
    </xf>
    <xf numFmtId="222" fontId="4" fillId="0" borderId="27" xfId="0" applyNumberFormat="1" applyFont="1" applyFill="1" applyBorder="1" applyAlignment="1">
      <alignment/>
    </xf>
    <xf numFmtId="222" fontId="0" fillId="0" borderId="0" xfId="0" applyNumberFormat="1" applyAlignment="1">
      <alignment/>
    </xf>
    <xf numFmtId="222" fontId="4" fillId="0" borderId="40" xfId="0" applyNumberFormat="1" applyFont="1" applyFill="1" applyBorder="1" applyAlignment="1">
      <alignment/>
    </xf>
    <xf numFmtId="222" fontId="7" fillId="0" borderId="11" xfId="0" applyNumberFormat="1" applyFont="1" applyBorder="1" applyAlignment="1">
      <alignment horizontal="right"/>
    </xf>
    <xf numFmtId="222" fontId="7" fillId="0" borderId="25" xfId="0" applyNumberFormat="1" applyFont="1" applyBorder="1" applyAlignment="1">
      <alignment/>
    </xf>
    <xf numFmtId="4" fontId="4" fillId="0" borderId="0" xfId="0" applyNumberFormat="1" applyFont="1" applyAlignment="1">
      <alignment horizontal="center"/>
    </xf>
    <xf numFmtId="4" fontId="4" fillId="5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left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Border="1" applyAlignment="1">
      <alignment/>
    </xf>
    <xf numFmtId="4" fontId="30" fillId="0" borderId="0" xfId="0" applyNumberFormat="1" applyFont="1" applyAlignment="1">
      <alignment horizontal="left"/>
    </xf>
    <xf numFmtId="4" fontId="7" fillId="5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4" fillId="0" borderId="0" xfId="0" applyNumberFormat="1" applyFont="1" applyBorder="1" applyAlignment="1">
      <alignment/>
    </xf>
    <xf numFmtId="4" fontId="30" fillId="5" borderId="0" xfId="0" applyNumberFormat="1" applyFont="1" applyFill="1" applyAlignment="1">
      <alignment horizontal="left"/>
    </xf>
    <xf numFmtId="4" fontId="7" fillId="18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7" fillId="5" borderId="0" xfId="0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0" fontId="4" fillId="5" borderId="0" xfId="0" applyFont="1" applyFill="1" applyAlignment="1">
      <alignment/>
    </xf>
    <xf numFmtId="3" fontId="4" fillId="0" borderId="0" xfId="50" applyNumberFormat="1" applyFont="1" applyAlignment="1">
      <alignment horizontal="right"/>
    </xf>
    <xf numFmtId="1" fontId="4" fillId="5" borderId="0" xfId="0" applyNumberFormat="1" applyFont="1" applyFill="1" applyAlignment="1">
      <alignment horizontal="center"/>
    </xf>
    <xf numFmtId="0" fontId="4" fillId="5" borderId="0" xfId="0" applyFont="1" applyFill="1" applyAlignment="1">
      <alignment horizontal="left"/>
    </xf>
    <xf numFmtId="3" fontId="7" fillId="5" borderId="0" xfId="0" applyNumberFormat="1" applyFont="1" applyFill="1" applyAlignment="1">
      <alignment/>
    </xf>
    <xf numFmtId="1" fontId="4" fillId="0" borderId="0" xfId="0" applyNumberFormat="1" applyFont="1" applyAlignment="1">
      <alignment horizontal="right"/>
    </xf>
    <xf numFmtId="3" fontId="7" fillId="5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18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7" fillId="0" borderId="0" xfId="50" applyNumberFormat="1" applyFont="1" applyAlignment="1">
      <alignment horizontal="right"/>
    </xf>
    <xf numFmtId="1" fontId="7" fillId="5" borderId="0" xfId="0" applyNumberFormat="1" applyFont="1" applyFill="1" applyAlignment="1">
      <alignment horizontal="right"/>
    </xf>
    <xf numFmtId="3" fontId="7" fillId="0" borderId="0" xfId="0" applyNumberFormat="1" applyFont="1" applyBorder="1" applyAlignment="1">
      <alignment horizontal="right" indent="1"/>
    </xf>
    <xf numFmtId="0" fontId="30" fillId="0" borderId="0" xfId="0" applyFont="1" applyAlignment="1">
      <alignment horizontal="left"/>
    </xf>
    <xf numFmtId="193" fontId="30" fillId="0" borderId="0" xfId="50" applyNumberFormat="1" applyFont="1" applyAlignment="1">
      <alignment/>
    </xf>
    <xf numFmtId="1" fontId="4" fillId="5" borderId="0" xfId="0" applyNumberFormat="1" applyFont="1" applyFill="1" applyAlignment="1">
      <alignment horizontal="right"/>
    </xf>
    <xf numFmtId="0" fontId="30" fillId="5" borderId="0" xfId="0" applyFont="1" applyFill="1" applyAlignment="1">
      <alignment horizontal="left"/>
    </xf>
    <xf numFmtId="193" fontId="30" fillId="5" borderId="0" xfId="50" applyNumberFormat="1" applyFont="1" applyFill="1" applyAlignment="1">
      <alignment/>
    </xf>
    <xf numFmtId="3" fontId="7" fillId="0" borderId="41" xfId="0" applyNumberFormat="1" applyFont="1" applyBorder="1" applyAlignment="1">
      <alignment/>
    </xf>
    <xf numFmtId="207" fontId="7" fillId="18" borderId="0" xfId="0" applyNumberFormat="1" applyFont="1" applyFill="1" applyAlignment="1">
      <alignment horizontal="center"/>
    </xf>
    <xf numFmtId="222" fontId="0" fillId="0" borderId="0" xfId="0" applyNumberFormat="1" applyFont="1" applyAlignment="1">
      <alignment/>
    </xf>
    <xf numFmtId="3" fontId="7" fillId="19" borderId="18" xfId="0" applyNumberFormat="1" applyFont="1" applyFill="1" applyBorder="1" applyAlignment="1">
      <alignment horizontal="center" wrapText="1"/>
    </xf>
    <xf numFmtId="3" fontId="7" fillId="0" borderId="18" xfId="0" applyNumberFormat="1" applyFont="1" applyBorder="1" applyAlignment="1">
      <alignment horizontal="center" wrapText="1"/>
    </xf>
    <xf numFmtId="3" fontId="7" fillId="0" borderId="42" xfId="0" applyNumberFormat="1" applyFont="1" applyBorder="1" applyAlignment="1">
      <alignment horizontal="center" wrapText="1"/>
    </xf>
    <xf numFmtId="3" fontId="4" fillId="19" borderId="10" xfId="50" applyNumberFormat="1" applyFont="1" applyFill="1" applyBorder="1" applyAlignment="1">
      <alignment horizontal="right"/>
    </xf>
    <xf numFmtId="3" fontId="4" fillId="0" borderId="20" xfId="50" applyNumberFormat="1" applyFont="1" applyFill="1" applyBorder="1" applyAlignment="1">
      <alignment horizontal="right"/>
    </xf>
    <xf numFmtId="3" fontId="36" fillId="5" borderId="0" xfId="0" applyNumberFormat="1" applyFont="1" applyFill="1" applyBorder="1" applyAlignment="1">
      <alignment/>
    </xf>
    <xf numFmtId="3" fontId="36" fillId="5" borderId="0" xfId="0" applyNumberFormat="1" applyFont="1" applyFill="1" applyAlignment="1">
      <alignment/>
    </xf>
    <xf numFmtId="222" fontId="0" fillId="0" borderId="0" xfId="0" applyNumberFormat="1" applyFont="1" applyAlignment="1">
      <alignment/>
    </xf>
    <xf numFmtId="169" fontId="0" fillId="0" borderId="0" xfId="50" applyNumberFormat="1" applyFont="1" applyAlignment="1">
      <alignment/>
    </xf>
    <xf numFmtId="205" fontId="0" fillId="0" borderId="0" xfId="50" applyNumberFormat="1" applyFont="1" applyAlignment="1">
      <alignment/>
    </xf>
    <xf numFmtId="2" fontId="0" fillId="0" borderId="0" xfId="0" applyNumberFormat="1" applyFont="1" applyAlignment="1">
      <alignment horizontal="center"/>
    </xf>
    <xf numFmtId="44" fontId="0" fillId="0" borderId="0" xfId="0" applyNumberFormat="1" applyFont="1" applyAlignment="1">
      <alignment/>
    </xf>
    <xf numFmtId="2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7" fillId="0" borderId="0" xfId="0" applyNumberFormat="1" applyFont="1" applyFill="1" applyAlignment="1">
      <alignment/>
    </xf>
    <xf numFmtId="185" fontId="1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30" fillId="0" borderId="0" xfId="50" applyNumberFormat="1" applyFont="1" applyAlignment="1">
      <alignment/>
    </xf>
    <xf numFmtId="3" fontId="4" fillId="0" borderId="11" xfId="50" applyNumberFormat="1" applyFont="1" applyBorder="1" applyAlignment="1">
      <alignment horizontal="right"/>
    </xf>
    <xf numFmtId="3" fontId="7" fillId="5" borderId="0" xfId="50" applyNumberFormat="1" applyFont="1" applyFill="1" applyAlignment="1">
      <alignment/>
    </xf>
    <xf numFmtId="3" fontId="4" fillId="0" borderId="11" xfId="0" applyNumberFormat="1" applyFont="1" applyBorder="1" applyAlignment="1">
      <alignment/>
    </xf>
    <xf numFmtId="3" fontId="30" fillId="0" borderId="0" xfId="0" applyNumberFormat="1" applyFont="1" applyFill="1" applyAlignment="1">
      <alignment/>
    </xf>
    <xf numFmtId="3" fontId="7" fillId="0" borderId="43" xfId="0" applyNumberFormat="1" applyFont="1" applyBorder="1" applyAlignment="1">
      <alignment/>
    </xf>
    <xf numFmtId="3" fontId="7" fillId="5" borderId="41" xfId="0" applyNumberFormat="1" applyFont="1" applyFill="1" applyBorder="1" applyAlignment="1">
      <alignment/>
    </xf>
    <xf numFmtId="4" fontId="7" fillId="19" borderId="0" xfId="0" applyNumberFormat="1" applyFont="1" applyFill="1" applyAlignment="1">
      <alignment horizontal="center"/>
    </xf>
    <xf numFmtId="3" fontId="7" fillId="19" borderId="0" xfId="0" applyNumberFormat="1" applyFont="1" applyFill="1" applyAlignment="1">
      <alignment horizontal="right"/>
    </xf>
    <xf numFmtId="3" fontId="37" fillId="19" borderId="10" xfId="5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38" fillId="0" borderId="0" xfId="0" applyNumberFormat="1" applyFont="1" applyAlignment="1">
      <alignment horizontal="left"/>
    </xf>
    <xf numFmtId="4" fontId="7" fillId="5" borderId="0" xfId="0" applyNumberFormat="1" applyFont="1" applyFill="1" applyAlignment="1">
      <alignment/>
    </xf>
    <xf numFmtId="3" fontId="7" fillId="5" borderId="0" xfId="0" applyNumberFormat="1" applyFont="1" applyFill="1" applyAlignment="1">
      <alignment/>
    </xf>
    <xf numFmtId="3" fontId="4" fillId="18" borderId="0" xfId="0" applyNumberFormat="1" applyFont="1" applyFill="1" applyAlignment="1">
      <alignment horizontal="right"/>
    </xf>
    <xf numFmtId="3" fontId="7" fillId="18" borderId="0" xfId="0" applyNumberFormat="1" applyFont="1" applyFill="1" applyAlignment="1">
      <alignment/>
    </xf>
    <xf numFmtId="3" fontId="4" fillId="0" borderId="39" xfId="50" applyNumberFormat="1" applyFont="1" applyFill="1" applyBorder="1" applyAlignment="1">
      <alignment horizontal="right"/>
    </xf>
    <xf numFmtId="3" fontId="7" fillId="5" borderId="44" xfId="50" applyNumberFormat="1" applyFont="1" applyFill="1" applyBorder="1" applyAlignment="1">
      <alignment horizontal="right"/>
    </xf>
    <xf numFmtId="3" fontId="29" fillId="18" borderId="0" xfId="0" applyNumberFormat="1" applyFont="1" applyFill="1" applyBorder="1" applyAlignment="1">
      <alignment/>
    </xf>
    <xf numFmtId="0" fontId="31" fillId="18" borderId="0" xfId="0" applyFont="1" applyFill="1" applyAlignment="1">
      <alignment/>
    </xf>
    <xf numFmtId="217" fontId="7" fillId="5" borderId="45" xfId="50" applyNumberFormat="1" applyFont="1" applyFill="1" applyBorder="1" applyAlignment="1">
      <alignment/>
    </xf>
    <xf numFmtId="207" fontId="7" fillId="5" borderId="45" xfId="0" applyNumberFormat="1" applyFont="1" applyFill="1" applyBorder="1" applyAlignment="1">
      <alignment/>
    </xf>
    <xf numFmtId="0" fontId="0" fillId="0" borderId="0" xfId="0" applyFill="1" applyAlignment="1">
      <alignment/>
    </xf>
    <xf numFmtId="41" fontId="7" fillId="0" borderId="0" xfId="0" applyNumberFormat="1" applyFont="1" applyFill="1" applyAlignment="1">
      <alignment/>
    </xf>
    <xf numFmtId="41" fontId="4" fillId="0" borderId="0" xfId="0" applyNumberFormat="1" applyFont="1" applyAlignment="1">
      <alignment/>
    </xf>
    <xf numFmtId="41" fontId="7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4" fillId="0" borderId="0" xfId="50" applyNumberFormat="1" applyFont="1" applyAlignment="1">
      <alignment horizontal="right"/>
    </xf>
    <xf numFmtId="41" fontId="4" fillId="0" borderId="0" xfId="0" applyNumberFormat="1" applyFont="1" applyAlignment="1">
      <alignment horizontal="right"/>
    </xf>
    <xf numFmtId="41" fontId="7" fillId="0" borderId="0" xfId="0" applyNumberFormat="1" applyFont="1" applyFill="1" applyBorder="1" applyAlignment="1">
      <alignment/>
    </xf>
    <xf numFmtId="41" fontId="4" fillId="0" borderId="0" xfId="50" applyNumberFormat="1" applyFont="1" applyAlignment="1">
      <alignment/>
    </xf>
    <xf numFmtId="41" fontId="10" fillId="0" borderId="0" xfId="0" applyNumberFormat="1" applyFont="1" applyAlignment="1">
      <alignment/>
    </xf>
    <xf numFmtId="41" fontId="7" fillId="5" borderId="0" xfId="0" applyNumberFormat="1" applyFont="1" applyFill="1" applyBorder="1" applyAlignment="1">
      <alignment/>
    </xf>
    <xf numFmtId="41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/>
    </xf>
    <xf numFmtId="41" fontId="7" fillId="0" borderId="11" xfId="0" applyNumberFormat="1" applyFont="1" applyFill="1" applyBorder="1" applyAlignment="1">
      <alignment/>
    </xf>
    <xf numFmtId="41" fontId="7" fillId="5" borderId="0" xfId="0" applyNumberFormat="1" applyFont="1" applyFill="1" applyAlignment="1">
      <alignment/>
    </xf>
    <xf numFmtId="41" fontId="7" fillId="0" borderId="0" xfId="50" applyNumberFormat="1" applyFont="1" applyAlignment="1">
      <alignment horizontal="right"/>
    </xf>
    <xf numFmtId="41" fontId="7" fillId="5" borderId="0" xfId="0" applyNumberFormat="1" applyFont="1" applyFill="1" applyAlignment="1">
      <alignment horizontal="right"/>
    </xf>
    <xf numFmtId="41" fontId="30" fillId="0" borderId="0" xfId="50" applyNumberFormat="1" applyFont="1" applyAlignment="1">
      <alignment/>
    </xf>
    <xf numFmtId="41" fontId="30" fillId="0" borderId="0" xfId="0" applyNumberFormat="1" applyFont="1" applyFill="1" applyAlignment="1">
      <alignment/>
    </xf>
    <xf numFmtId="41" fontId="7" fillId="0" borderId="43" xfId="0" applyNumberFormat="1" applyFont="1" applyBorder="1" applyAlignment="1">
      <alignment/>
    </xf>
    <xf numFmtId="41" fontId="7" fillId="0" borderId="0" xfId="0" applyNumberFormat="1" applyFont="1" applyAlignment="1">
      <alignment horizontal="right"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7" fillId="5" borderId="46" xfId="0" applyFont="1" applyFill="1" applyBorder="1" applyAlignment="1">
      <alignment horizontal="center"/>
    </xf>
    <xf numFmtId="0" fontId="7" fillId="5" borderId="47" xfId="0" applyFont="1" applyFill="1" applyBorder="1" applyAlignment="1">
      <alignment horizontal="center"/>
    </xf>
    <xf numFmtId="0" fontId="7" fillId="5" borderId="47" xfId="0" applyFont="1" applyFill="1" applyBorder="1" applyAlignment="1">
      <alignment horizontal="center" vertical="top" wrapText="1"/>
    </xf>
    <xf numFmtId="0" fontId="7" fillId="5" borderId="48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/>
    </xf>
    <xf numFmtId="189" fontId="4" fillId="0" borderId="10" xfId="0" applyNumberFormat="1" applyFont="1" applyBorder="1" applyAlignment="1">
      <alignment/>
    </xf>
    <xf numFmtId="0" fontId="7" fillId="19" borderId="10" xfId="0" applyFont="1" applyFill="1" applyBorder="1" applyAlignment="1">
      <alignment horizontal="right"/>
    </xf>
    <xf numFmtId="189" fontId="4" fillId="0" borderId="10" xfId="0" applyNumberFormat="1" applyFont="1" applyFill="1" applyBorder="1" applyAlignment="1">
      <alignment/>
    </xf>
    <xf numFmtId="42" fontId="7" fillId="19" borderId="0" xfId="50" applyNumberFormat="1" applyFont="1" applyFill="1" applyAlignment="1">
      <alignment horizontal="right"/>
    </xf>
    <xf numFmtId="3" fontId="30" fillId="5" borderId="0" xfId="50" applyNumberFormat="1" applyFont="1" applyFill="1" applyAlignment="1">
      <alignment/>
    </xf>
    <xf numFmtId="3" fontId="7" fillId="5" borderId="0" xfId="50" applyNumberFormat="1" applyFont="1" applyFill="1" applyAlignment="1">
      <alignment horizontal="right"/>
    </xf>
    <xf numFmtId="3" fontId="7" fillId="18" borderId="0" xfId="0" applyNumberFormat="1" applyFont="1" applyFill="1" applyAlignment="1">
      <alignment horizontal="center"/>
    </xf>
    <xf numFmtId="218" fontId="1" fillId="18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8" fillId="0" borderId="10" xfId="0" applyFont="1" applyBorder="1" applyAlignment="1">
      <alignment horizontal="right"/>
    </xf>
    <xf numFmtId="189" fontId="7" fillId="0" borderId="10" xfId="0" applyNumberFormat="1" applyFont="1" applyBorder="1" applyAlignment="1">
      <alignment/>
    </xf>
    <xf numFmtId="0" fontId="38" fillId="0" borderId="0" xfId="0" applyFont="1" applyAlignment="1">
      <alignment horizontal="right"/>
    </xf>
    <xf numFmtId="189" fontId="7" fillId="19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19" borderId="15" xfId="0" applyFont="1" applyFill="1" applyBorder="1" applyAlignment="1">
      <alignment/>
    </xf>
    <xf numFmtId="0" fontId="7" fillId="19" borderId="16" xfId="0" applyFont="1" applyFill="1" applyBorder="1" applyAlignment="1">
      <alignment horizontal="center"/>
    </xf>
    <xf numFmtId="0" fontId="7" fillId="19" borderId="16" xfId="0" applyFont="1" applyFill="1" applyBorder="1" applyAlignment="1">
      <alignment horizontal="center" vertical="top" wrapText="1"/>
    </xf>
    <xf numFmtId="0" fontId="7" fillId="19" borderId="17" xfId="0" applyFont="1" applyFill="1" applyBorder="1" applyAlignment="1">
      <alignment horizontal="center" vertical="top" wrapText="1"/>
    </xf>
    <xf numFmtId="188" fontId="4" fillId="0" borderId="39" xfId="0" applyNumberFormat="1" applyFont="1" applyBorder="1" applyAlignment="1">
      <alignment/>
    </xf>
    <xf numFmtId="188" fontId="7" fillId="0" borderId="39" xfId="0" applyNumberFormat="1" applyFont="1" applyBorder="1" applyAlignment="1">
      <alignment/>
    </xf>
    <xf numFmtId="0" fontId="4" fillId="19" borderId="35" xfId="0" applyFont="1" applyFill="1" applyBorder="1" applyAlignment="1">
      <alignment horizontal="center"/>
    </xf>
    <xf numFmtId="189" fontId="4" fillId="0" borderId="39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8" fontId="7" fillId="19" borderId="39" xfId="0" applyNumberFormat="1" applyFont="1" applyFill="1" applyBorder="1" applyAlignment="1">
      <alignment/>
    </xf>
    <xf numFmtId="189" fontId="8" fillId="0" borderId="10" xfId="0" applyNumberFormat="1" applyFont="1" applyBorder="1" applyAlignment="1">
      <alignment/>
    </xf>
    <xf numFmtId="188" fontId="8" fillId="0" borderId="39" xfId="0" applyNumberFormat="1" applyFont="1" applyBorder="1" applyAlignment="1">
      <alignment/>
    </xf>
    <xf numFmtId="0" fontId="4" fillId="18" borderId="35" xfId="0" applyFont="1" applyFill="1" applyBorder="1" applyAlignment="1">
      <alignment horizontal="center"/>
    </xf>
    <xf numFmtId="0" fontId="7" fillId="18" borderId="10" xfId="0" applyFont="1" applyFill="1" applyBorder="1" applyAlignment="1">
      <alignment horizontal="right"/>
    </xf>
    <xf numFmtId="189" fontId="7" fillId="18" borderId="10" xfId="0" applyNumberFormat="1" applyFont="1" applyFill="1" applyBorder="1" applyAlignment="1">
      <alignment/>
    </xf>
    <xf numFmtId="188" fontId="7" fillId="18" borderId="39" xfId="0" applyNumberFormat="1" applyFont="1" applyFill="1" applyBorder="1" applyAlignment="1">
      <alignment/>
    </xf>
    <xf numFmtId="220" fontId="4" fillId="0" borderId="39" xfId="0" applyNumberFormat="1" applyFont="1" applyFill="1" applyBorder="1" applyAlignment="1">
      <alignment/>
    </xf>
    <xf numFmtId="220" fontId="7" fillId="0" borderId="39" xfId="0" applyNumberFormat="1" applyFont="1" applyFill="1" applyBorder="1" applyAlignment="1">
      <alignment/>
    </xf>
    <xf numFmtId="0" fontId="1" fillId="18" borderId="0" xfId="0" applyFont="1" applyFill="1" applyAlignment="1">
      <alignment horizontal="left"/>
    </xf>
    <xf numFmtId="42" fontId="7" fillId="0" borderId="10" xfId="0" applyNumberFormat="1" applyFont="1" applyBorder="1" applyAlignment="1">
      <alignment/>
    </xf>
    <xf numFmtId="220" fontId="7" fillId="0" borderId="39" xfId="0" applyNumberFormat="1" applyFont="1" applyBorder="1" applyAlignment="1">
      <alignment/>
    </xf>
    <xf numFmtId="189" fontId="7" fillId="2" borderId="10" xfId="0" applyNumberFormat="1" applyFont="1" applyFill="1" applyBorder="1" applyAlignment="1">
      <alignment/>
    </xf>
    <xf numFmtId="188" fontId="7" fillId="2" borderId="39" xfId="0" applyNumberFormat="1" applyFont="1" applyFill="1" applyBorder="1" applyAlignment="1">
      <alignment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/>
    </xf>
    <xf numFmtId="0" fontId="7" fillId="19" borderId="50" xfId="0" applyFont="1" applyFill="1" applyBorder="1" applyAlignment="1">
      <alignment horizontal="center" wrapText="1"/>
    </xf>
    <xf numFmtId="0" fontId="7" fillId="19" borderId="51" xfId="0" applyFont="1" applyFill="1" applyBorder="1" applyAlignment="1">
      <alignment horizontal="center" wrapText="1"/>
    </xf>
    <xf numFmtId="3" fontId="7" fillId="0" borderId="18" xfId="0" applyNumberFormat="1" applyFont="1" applyFill="1" applyBorder="1" applyAlignment="1">
      <alignment horizontal="center" wrapText="1"/>
    </xf>
    <xf numFmtId="0" fontId="11" fillId="19" borderId="52" xfId="0" applyFont="1" applyFill="1" applyBorder="1" applyAlignment="1">
      <alignment horizontal="right"/>
    </xf>
    <xf numFmtId="0" fontId="11" fillId="19" borderId="10" xfId="0" applyFont="1" applyFill="1" applyBorder="1" applyAlignment="1">
      <alignment horizontal="right"/>
    </xf>
    <xf numFmtId="189" fontId="11" fillId="19" borderId="3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218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88" fontId="8" fillId="0" borderId="12" xfId="0" applyNumberFormat="1" applyFont="1" applyFill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53" xfId="0" applyFont="1" applyFill="1" applyBorder="1" applyAlignment="1">
      <alignment horizontal="center"/>
    </xf>
    <xf numFmtId="3" fontId="33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3" fontId="36" fillId="0" borderId="0" xfId="0" applyNumberFormat="1" applyFont="1" applyFill="1" applyAlignment="1">
      <alignment/>
    </xf>
    <xf numFmtId="189" fontId="7" fillId="5" borderId="10" xfId="0" applyNumberFormat="1" applyFont="1" applyFill="1" applyBorder="1" applyAlignment="1">
      <alignment/>
    </xf>
    <xf numFmtId="188" fontId="7" fillId="5" borderId="39" xfId="0" applyNumberFormat="1" applyFont="1" applyFill="1" applyBorder="1" applyAlignment="1">
      <alignment/>
    </xf>
    <xf numFmtId="188" fontId="11" fillId="19" borderId="39" xfId="0" applyNumberFormat="1" applyFont="1" applyFill="1" applyBorder="1" applyAlignment="1">
      <alignment/>
    </xf>
    <xf numFmtId="0" fontId="0" fillId="19" borderId="54" xfId="0" applyFont="1" applyFill="1" applyBorder="1" applyAlignment="1">
      <alignment/>
    </xf>
    <xf numFmtId="3" fontId="0" fillId="19" borderId="11" xfId="0" applyNumberFormat="1" applyFont="1" applyFill="1" applyBorder="1" applyAlignment="1">
      <alignment/>
    </xf>
    <xf numFmtId="0" fontId="0" fillId="19" borderId="55" xfId="0" applyFont="1" applyFill="1" applyBorder="1" applyAlignment="1">
      <alignment/>
    </xf>
    <xf numFmtId="0" fontId="1" fillId="19" borderId="56" xfId="0" applyFont="1" applyFill="1" applyBorder="1" applyAlignment="1">
      <alignment/>
    </xf>
    <xf numFmtId="0" fontId="0" fillId="19" borderId="57" xfId="0" applyFont="1" applyFill="1" applyBorder="1" applyAlignment="1">
      <alignment/>
    </xf>
    <xf numFmtId="189" fontId="11" fillId="19" borderId="58" xfId="0" applyNumberFormat="1" applyFont="1" applyFill="1" applyBorder="1" applyAlignment="1">
      <alignment/>
    </xf>
    <xf numFmtId="188" fontId="40" fillId="19" borderId="59" xfId="0" applyNumberFormat="1" applyFont="1" applyFill="1" applyBorder="1" applyAlignment="1">
      <alignment/>
    </xf>
    <xf numFmtId="188" fontId="11" fillId="19" borderId="60" xfId="0" applyNumberFormat="1" applyFont="1" applyFill="1" applyBorder="1" applyAlignment="1">
      <alignment/>
    </xf>
    <xf numFmtId="0" fontId="33" fillId="19" borderId="31" xfId="0" applyFont="1" applyFill="1" applyBorder="1" applyAlignment="1">
      <alignment/>
    </xf>
    <xf numFmtId="0" fontId="7" fillId="19" borderId="58" xfId="0" applyFont="1" applyFill="1" applyBorder="1" applyAlignment="1">
      <alignment/>
    </xf>
    <xf numFmtId="0" fontId="29" fillId="19" borderId="31" xfId="0" applyFont="1" applyFill="1" applyBorder="1" applyAlignment="1">
      <alignment horizontal="right"/>
    </xf>
    <xf numFmtId="207" fontId="4" fillId="0" borderId="0" xfId="0" applyNumberFormat="1" applyFont="1" applyAlignment="1">
      <alignment/>
    </xf>
    <xf numFmtId="0" fontId="7" fillId="0" borderId="35" xfId="0" applyFont="1" applyBorder="1" applyAlignment="1">
      <alignment/>
    </xf>
    <xf numFmtId="0" fontId="4" fillId="5" borderId="61" xfId="0" applyFont="1" applyFill="1" applyBorder="1" applyAlignment="1">
      <alignment/>
    </xf>
    <xf numFmtId="222" fontId="7" fillId="5" borderId="62" xfId="50" applyNumberFormat="1" applyFont="1" applyFill="1" applyBorder="1" applyAlignment="1">
      <alignment horizontal="right"/>
    </xf>
    <xf numFmtId="222" fontId="7" fillId="5" borderId="63" xfId="50" applyNumberFormat="1" applyFont="1" applyFill="1" applyBorder="1" applyAlignment="1">
      <alignment horizontal="right"/>
    </xf>
    <xf numFmtId="0" fontId="4" fillId="0" borderId="16" xfId="0" applyFont="1" applyBorder="1" applyAlignment="1">
      <alignment vertical="center" wrapText="1"/>
    </xf>
    <xf numFmtId="9" fontId="4" fillId="0" borderId="16" xfId="54" applyFont="1" applyBorder="1" applyAlignment="1">
      <alignment/>
    </xf>
    <xf numFmtId="9" fontId="7" fillId="5" borderId="62" xfId="0" applyNumberFormat="1" applyFont="1" applyFill="1" applyBorder="1" applyAlignment="1">
      <alignment/>
    </xf>
    <xf numFmtId="0" fontId="7" fillId="0" borderId="64" xfId="0" applyFont="1" applyBorder="1" applyAlignment="1">
      <alignment horizontal="center" vertical="top" wrapText="1"/>
    </xf>
    <xf numFmtId="0" fontId="33" fillId="0" borderId="35" xfId="0" applyFont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3" fontId="7" fillId="2" borderId="12" xfId="50" applyNumberFormat="1" applyFont="1" applyFill="1" applyBorder="1" applyAlignment="1">
      <alignment horizontal="center"/>
    </xf>
    <xf numFmtId="0" fontId="4" fillId="18" borderId="13" xfId="0" applyFont="1" applyFill="1" applyBorder="1" applyAlignment="1">
      <alignment horizontal="center"/>
    </xf>
    <xf numFmtId="3" fontId="4" fillId="18" borderId="10" xfId="0" applyNumberFormat="1" applyFont="1" applyFill="1" applyBorder="1" applyAlignment="1">
      <alignment horizontal="center"/>
    </xf>
    <xf numFmtId="3" fontId="4" fillId="18" borderId="10" xfId="50" applyNumberFormat="1" applyFont="1" applyFill="1" applyBorder="1" applyAlignment="1">
      <alignment horizontal="right"/>
    </xf>
    <xf numFmtId="3" fontId="36" fillId="18" borderId="0" xfId="0" applyNumberFormat="1" applyFont="1" applyFill="1" applyAlignment="1">
      <alignment/>
    </xf>
    <xf numFmtId="190" fontId="42" fillId="0" borderId="0" xfId="0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3" fontId="4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4" fillId="2" borderId="13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3" fontId="4" fillId="2" borderId="10" xfId="0" applyNumberFormat="1" applyFont="1" applyFill="1" applyBorder="1" applyAlignment="1">
      <alignment horizontal="center"/>
    </xf>
    <xf numFmtId="3" fontId="4" fillId="2" borderId="10" xfId="5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4" fillId="2" borderId="19" xfId="0" applyFont="1" applyFill="1" applyBorder="1" applyAlignment="1">
      <alignment horizontal="center"/>
    </xf>
    <xf numFmtId="3" fontId="4" fillId="20" borderId="0" xfId="0" applyNumberFormat="1" applyFont="1" applyFill="1" applyAlignment="1">
      <alignment/>
    </xf>
    <xf numFmtId="3" fontId="42" fillId="21" borderId="12" xfId="50" applyNumberFormat="1" applyFont="1" applyFill="1" applyBorder="1" applyAlignment="1">
      <alignment horizontal="right"/>
    </xf>
    <xf numFmtId="190" fontId="43" fillId="21" borderId="0" xfId="0" applyNumberFormat="1" applyFont="1" applyFill="1" applyAlignment="1">
      <alignment/>
    </xf>
    <xf numFmtId="0" fontId="43" fillId="21" borderId="0" xfId="0" applyFont="1" applyFill="1" applyAlignment="1">
      <alignment/>
    </xf>
    <xf numFmtId="3" fontId="29" fillId="18" borderId="0" xfId="0" applyNumberFormat="1" applyFont="1" applyFill="1" applyAlignment="1">
      <alignment horizontal="right"/>
    </xf>
    <xf numFmtId="3" fontId="29" fillId="18" borderId="0" xfId="0" applyNumberFormat="1" applyFont="1" applyFill="1" applyAlignment="1">
      <alignment/>
    </xf>
    <xf numFmtId="0" fontId="29" fillId="18" borderId="0" xfId="0" applyFont="1" applyFill="1" applyAlignment="1">
      <alignment horizontal="left"/>
    </xf>
    <xf numFmtId="0" fontId="29" fillId="18" borderId="0" xfId="0" applyFont="1" applyFill="1" applyAlignment="1">
      <alignment/>
    </xf>
    <xf numFmtId="3" fontId="29" fillId="18" borderId="11" xfId="0" applyNumberFormat="1" applyFont="1" applyFill="1" applyBorder="1" applyAlignment="1">
      <alignment/>
    </xf>
    <xf numFmtId="207" fontId="36" fillId="18" borderId="0" xfId="0" applyNumberFormat="1" applyFont="1" applyFill="1" applyAlignment="1">
      <alignment/>
    </xf>
    <xf numFmtId="0" fontId="4" fillId="12" borderId="64" xfId="0" applyFont="1" applyFill="1" applyBorder="1" applyAlignment="1">
      <alignment/>
    </xf>
    <xf numFmtId="0" fontId="7" fillId="5" borderId="38" xfId="0" applyFont="1" applyFill="1" applyBorder="1" applyAlignment="1">
      <alignment horizontal="right"/>
    </xf>
    <xf numFmtId="0" fontId="4" fillId="0" borderId="10" xfId="0" applyFont="1" applyFill="1" applyBorder="1" applyAlignment="1" quotePrefix="1">
      <alignment horizontal="left"/>
    </xf>
    <xf numFmtId="177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6" fillId="18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83" fontId="0" fillId="18" borderId="0" xfId="0" applyNumberFormat="1" applyFill="1" applyAlignment="1">
      <alignment/>
    </xf>
    <xf numFmtId="176" fontId="0" fillId="0" borderId="0" xfId="0" applyNumberFormat="1" applyAlignment="1">
      <alignment/>
    </xf>
    <xf numFmtId="0" fontId="0" fillId="0" borderId="36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/>
    </xf>
    <xf numFmtId="193" fontId="9" fillId="0" borderId="10" xfId="0" applyNumberFormat="1" applyFont="1" applyBorder="1" applyAlignment="1">
      <alignment horizontal="right"/>
    </xf>
    <xf numFmtId="193" fontId="9" fillId="0" borderId="10" xfId="0" applyNumberFormat="1" applyFont="1" applyBorder="1" applyAlignment="1">
      <alignment/>
    </xf>
    <xf numFmtId="185" fontId="9" fillId="0" borderId="29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9" fontId="9" fillId="0" borderId="10" xfId="0" applyNumberFormat="1" applyFont="1" applyBorder="1" applyAlignment="1">
      <alignment horizontal="left"/>
    </xf>
    <xf numFmtId="171" fontId="0" fillId="0" borderId="13" xfId="0" applyNumberFormat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19" xfId="0" applyBorder="1" applyAlignment="1">
      <alignment horizontal="center"/>
    </xf>
    <xf numFmtId="9" fontId="9" fillId="0" borderId="20" xfId="0" applyNumberFormat="1" applyFont="1" applyBorder="1" applyAlignment="1">
      <alignment horizontal="left"/>
    </xf>
    <xf numFmtId="0" fontId="0" fillId="20" borderId="19" xfId="0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9" fontId="9" fillId="20" borderId="20" xfId="0" applyNumberFormat="1" applyFont="1" applyFill="1" applyBorder="1" applyAlignment="1">
      <alignment horizontal="left"/>
    </xf>
    <xf numFmtId="193" fontId="9" fillId="20" borderId="10" xfId="0" applyNumberFormat="1" applyFont="1" applyFill="1" applyBorder="1" applyAlignment="1">
      <alignment horizontal="right"/>
    </xf>
    <xf numFmtId="193" fontId="9" fillId="20" borderId="10" xfId="0" applyNumberFormat="1" applyFont="1" applyFill="1" applyBorder="1" applyAlignment="1">
      <alignment/>
    </xf>
    <xf numFmtId="185" fontId="9" fillId="20" borderId="29" xfId="0" applyNumberFormat="1" applyFont="1" applyFill="1" applyBorder="1" applyAlignment="1">
      <alignment horizontal="center"/>
    </xf>
    <xf numFmtId="0" fontId="0" fillId="20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31" xfId="0" applyFont="1" applyBorder="1" applyAlignment="1">
      <alignment/>
    </xf>
    <xf numFmtId="44" fontId="45" fillId="0" borderId="31" xfId="0" applyNumberFormat="1" applyFont="1" applyBorder="1" applyAlignment="1">
      <alignment/>
    </xf>
    <xf numFmtId="185" fontId="45" fillId="0" borderId="6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45" fillId="0" borderId="0" xfId="0" applyFont="1" applyAlignment="1">
      <alignment/>
    </xf>
    <xf numFmtId="170" fontId="9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170" fontId="9" fillId="0" borderId="0" xfId="0" applyNumberFormat="1" applyFont="1" applyFill="1" applyAlignment="1">
      <alignment horizontal="center"/>
    </xf>
    <xf numFmtId="17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170" fontId="45" fillId="0" borderId="0" xfId="0" applyNumberFormat="1" applyFont="1" applyAlignment="1">
      <alignment horizontal="center"/>
    </xf>
    <xf numFmtId="177" fontId="9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179" fontId="45" fillId="0" borderId="0" xfId="0" applyNumberFormat="1" applyFont="1" applyAlignment="1">
      <alignment horizontal="center"/>
    </xf>
    <xf numFmtId="0" fontId="47" fillId="22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justify"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 vertical="justify" wrapText="1"/>
    </xf>
    <xf numFmtId="0" fontId="0" fillId="0" borderId="21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18" xfId="0" applyBorder="1" applyAlignment="1">
      <alignment/>
    </xf>
    <xf numFmtId="177" fontId="0" fillId="0" borderId="10" xfId="0" applyNumberFormat="1" applyBorder="1" applyAlignment="1">
      <alignment horizontal="right"/>
    </xf>
    <xf numFmtId="177" fontId="0" fillId="0" borderId="10" xfId="0" applyNumberFormat="1" applyBorder="1" applyAlignment="1">
      <alignment horizontal="center"/>
    </xf>
    <xf numFmtId="178" fontId="0" fillId="0" borderId="67" xfId="0" applyNumberFormat="1" applyBorder="1" applyAlignment="1">
      <alignment horizontal="center"/>
    </xf>
    <xf numFmtId="1" fontId="48" fillId="4" borderId="13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4" fontId="0" fillId="0" borderId="10" xfId="0" applyNumberFormat="1" applyBorder="1" applyAlignment="1">
      <alignment horizontal="right"/>
    </xf>
    <xf numFmtId="44" fontId="0" fillId="0" borderId="10" xfId="0" applyNumberFormat="1" applyBorder="1" applyAlignment="1">
      <alignment horizontal="center"/>
    </xf>
    <xf numFmtId="185" fontId="0" fillId="0" borderId="67" xfId="0" applyNumberFormat="1" applyBorder="1" applyAlignment="1">
      <alignment horizontal="center"/>
    </xf>
    <xf numFmtId="0" fontId="1" fillId="0" borderId="31" xfId="0" applyFont="1" applyBorder="1" applyAlignment="1">
      <alignment horizontal="center"/>
    </xf>
    <xf numFmtId="44" fontId="0" fillId="0" borderId="31" xfId="0" applyNumberFormat="1" applyBorder="1" applyAlignment="1">
      <alignment/>
    </xf>
    <xf numFmtId="44" fontId="1" fillId="0" borderId="31" xfId="0" applyNumberFormat="1" applyFont="1" applyBorder="1" applyAlignment="1">
      <alignment horizontal="center"/>
    </xf>
    <xf numFmtId="185" fontId="1" fillId="0" borderId="65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18" borderId="0" xfId="0" applyFont="1" applyFill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10" xfId="0" applyFont="1" applyBorder="1" applyAlignment="1">
      <alignment/>
    </xf>
    <xf numFmtId="193" fontId="0" fillId="0" borderId="10" xfId="0" applyNumberFormat="1" applyFont="1" applyBorder="1" applyAlignment="1">
      <alignment horizontal="right"/>
    </xf>
    <xf numFmtId="193" fontId="0" fillId="0" borderId="39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93" fontId="1" fillId="0" borderId="10" xfId="0" applyNumberFormat="1" applyFont="1" applyBorder="1" applyAlignment="1">
      <alignment horizontal="right"/>
    </xf>
    <xf numFmtId="193" fontId="1" fillId="0" borderId="39" xfId="0" applyNumberFormat="1" applyFont="1" applyBorder="1" applyAlignment="1">
      <alignment horizontal="center"/>
    </xf>
    <xf numFmtId="0" fontId="0" fillId="0" borderId="35" xfId="0" applyFont="1" applyBorder="1" applyAlignment="1">
      <alignment/>
    </xf>
    <xf numFmtId="173" fontId="0" fillId="0" borderId="10" xfId="0" applyNumberFormat="1" applyFont="1" applyBorder="1" applyAlignment="1">
      <alignment/>
    </xf>
    <xf numFmtId="193" fontId="0" fillId="0" borderId="10" xfId="0" applyNumberFormat="1" applyFont="1" applyBorder="1" applyAlignment="1">
      <alignment/>
    </xf>
    <xf numFmtId="193" fontId="0" fillId="0" borderId="39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61" xfId="0" applyFont="1" applyBorder="1" applyAlignment="1">
      <alignment/>
    </xf>
    <xf numFmtId="0" fontId="1" fillId="0" borderId="62" xfId="0" applyFont="1" applyFill="1" applyBorder="1" applyAlignment="1">
      <alignment horizontal="right"/>
    </xf>
    <xf numFmtId="193" fontId="0" fillId="0" borderId="62" xfId="0" applyNumberFormat="1" applyFont="1" applyBorder="1" applyAlignment="1">
      <alignment/>
    </xf>
    <xf numFmtId="193" fontId="1" fillId="0" borderId="63" xfId="0" applyNumberFormat="1" applyFont="1" applyBorder="1" applyAlignment="1">
      <alignment/>
    </xf>
    <xf numFmtId="0" fontId="0" fillId="0" borderId="0" xfId="0" applyFont="1" applyBorder="1" applyAlignment="1">
      <alignment/>
    </xf>
    <xf numFmtId="200" fontId="0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90" fontId="0" fillId="0" borderId="39" xfId="0" applyNumberFormat="1" applyFont="1" applyBorder="1" applyAlignment="1">
      <alignment horizontal="center"/>
    </xf>
    <xf numFmtId="190" fontId="0" fillId="0" borderId="39" xfId="0" applyNumberFormat="1" applyFont="1" applyBorder="1" applyAlignment="1">
      <alignment horizontal="left"/>
    </xf>
    <xf numFmtId="0" fontId="1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0" borderId="10" xfId="0" applyFont="1" applyBorder="1" applyAlignment="1" quotePrefix="1">
      <alignment horizontal="left"/>
    </xf>
    <xf numFmtId="0" fontId="4" fillId="0" borderId="68" xfId="0" applyFont="1" applyBorder="1" applyAlignment="1">
      <alignment horizontal="center"/>
    </xf>
    <xf numFmtId="0" fontId="4" fillId="0" borderId="12" xfId="0" applyFont="1" applyBorder="1" applyAlignment="1">
      <alignment/>
    </xf>
    <xf numFmtId="3" fontId="4" fillId="19" borderId="53" xfId="50" applyNumberFormat="1" applyFont="1" applyFill="1" applyBorder="1" applyAlignment="1">
      <alignment horizontal="right"/>
    </xf>
    <xf numFmtId="3" fontId="4" fillId="0" borderId="53" xfId="50" applyNumberFormat="1" applyFont="1" applyFill="1" applyBorder="1" applyAlignment="1">
      <alignment horizontal="right"/>
    </xf>
    <xf numFmtId="0" fontId="0" fillId="19" borderId="0" xfId="0" applyFill="1" applyAlignment="1">
      <alignment/>
    </xf>
    <xf numFmtId="188" fontId="4" fillId="0" borderId="39" xfId="0" applyNumberFormat="1" applyFont="1" applyFill="1" applyBorder="1" applyAlignment="1">
      <alignment/>
    </xf>
    <xf numFmtId="3" fontId="1" fillId="23" borderId="0" xfId="0" applyNumberFormat="1" applyFont="1" applyFill="1" applyBorder="1" applyAlignment="1">
      <alignment horizontal="center"/>
    </xf>
    <xf numFmtId="0" fontId="4" fillId="18" borderId="0" xfId="0" applyFont="1" applyFill="1" applyAlignment="1">
      <alignment/>
    </xf>
    <xf numFmtId="0" fontId="7" fillId="18" borderId="0" xfId="0" applyFont="1" applyFill="1" applyAlignment="1">
      <alignment/>
    </xf>
    <xf numFmtId="42" fontId="7" fillId="0" borderId="0" xfId="0" applyNumberFormat="1" applyFont="1" applyFill="1" applyAlignment="1">
      <alignment/>
    </xf>
    <xf numFmtId="42" fontId="4" fillId="0" borderId="0" xfId="0" applyNumberFormat="1" applyFont="1" applyFill="1" applyAlignment="1">
      <alignment/>
    </xf>
    <xf numFmtId="0" fontId="36" fillId="0" borderId="0" xfId="0" applyFont="1" applyAlignment="1" quotePrefix="1">
      <alignment horizontal="left"/>
    </xf>
    <xf numFmtId="207" fontId="31" fillId="18" borderId="0" xfId="0" applyNumberFormat="1" applyFont="1" applyFill="1" applyAlignment="1" quotePrefix="1">
      <alignment horizontal="left"/>
    </xf>
    <xf numFmtId="0" fontId="31" fillId="17" borderId="0" xfId="0" applyFont="1" applyFill="1" applyAlignment="1">
      <alignment/>
    </xf>
    <xf numFmtId="0" fontId="37" fillId="0" borderId="0" xfId="0" applyFont="1" applyAlignment="1">
      <alignment/>
    </xf>
    <xf numFmtId="0" fontId="0" fillId="18" borderId="0" xfId="0" applyFont="1" applyFill="1" applyAlignment="1">
      <alignment/>
    </xf>
    <xf numFmtId="3" fontId="0" fillId="18" borderId="0" xfId="0" applyNumberFormat="1" applyFont="1" applyFill="1" applyAlignment="1">
      <alignment/>
    </xf>
    <xf numFmtId="0" fontId="39" fillId="0" borderId="0" xfId="0" applyFont="1" applyAlignment="1">
      <alignment horizontal="center"/>
    </xf>
    <xf numFmtId="3" fontId="7" fillId="0" borderId="20" xfId="0" applyNumberFormat="1" applyFont="1" applyFill="1" applyBorder="1" applyAlignment="1">
      <alignment horizontal="center" wrapText="1"/>
    </xf>
    <xf numFmtId="3" fontId="7" fillId="0" borderId="53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3" fontId="36" fillId="24" borderId="26" xfId="0" applyNumberFormat="1" applyFont="1" applyFill="1" applyBorder="1" applyAlignment="1">
      <alignment horizontal="center" vertical="center" wrapText="1"/>
    </xf>
    <xf numFmtId="0" fontId="7" fillId="5" borderId="62" xfId="0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4" fontId="7" fillId="5" borderId="0" xfId="0" applyNumberFormat="1" applyFont="1" applyFill="1" applyAlignment="1">
      <alignment horizontal="right"/>
    </xf>
    <xf numFmtId="4" fontId="4" fillId="5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18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41" fontId="7" fillId="0" borderId="0" xfId="0" applyNumberFormat="1" applyFont="1" applyAlignment="1">
      <alignment horizontal="center" wrapText="1"/>
    </xf>
    <xf numFmtId="3" fontId="7" fillId="5" borderId="0" xfId="0" applyNumberFormat="1" applyFont="1" applyFill="1" applyAlignment="1">
      <alignment horizontal="right"/>
    </xf>
    <xf numFmtId="217" fontId="7" fillId="5" borderId="69" xfId="50" applyNumberFormat="1" applyFont="1" applyFill="1" applyBorder="1" applyAlignment="1">
      <alignment horizontal="center"/>
    </xf>
    <xf numFmtId="217" fontId="7" fillId="5" borderId="70" xfId="50" applyNumberFormat="1" applyFont="1" applyFill="1" applyBorder="1" applyAlignment="1">
      <alignment horizontal="center"/>
    </xf>
    <xf numFmtId="0" fontId="29" fillId="5" borderId="71" xfId="0" applyFont="1" applyFill="1" applyBorder="1" applyAlignment="1">
      <alignment horizontal="right"/>
    </xf>
    <xf numFmtId="0" fontId="29" fillId="5" borderId="72" xfId="0" applyFont="1" applyFill="1" applyBorder="1" applyAlignment="1">
      <alignment horizontal="right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9" fillId="5" borderId="73" xfId="0" applyFont="1" applyFill="1" applyBorder="1" applyAlignment="1">
      <alignment horizontal="right"/>
    </xf>
    <xf numFmtId="0" fontId="29" fillId="5" borderId="45" xfId="0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7" fillId="18" borderId="12" xfId="50" applyNumberFormat="1" applyFont="1" applyFill="1" applyBorder="1" applyAlignment="1">
      <alignment horizontal="center"/>
    </xf>
    <xf numFmtId="0" fontId="7" fillId="5" borderId="38" xfId="0" applyFont="1" applyFill="1" applyBorder="1" applyAlignment="1">
      <alignment horizontal="right"/>
    </xf>
    <xf numFmtId="0" fontId="7" fillId="5" borderId="74" xfId="0" applyFont="1" applyFill="1" applyBorder="1" applyAlignment="1">
      <alignment horizontal="right"/>
    </xf>
    <xf numFmtId="3" fontId="7" fillId="2" borderId="12" xfId="5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75" xfId="0" applyFont="1" applyBorder="1" applyAlignment="1">
      <alignment horizontal="left" wrapText="1"/>
    </xf>
    <xf numFmtId="0" fontId="7" fillId="0" borderId="76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3" fontId="1" fillId="15" borderId="26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35" xfId="0" applyFont="1" applyBorder="1" applyAlignment="1">
      <alignment horizontal="left"/>
    </xf>
    <xf numFmtId="3" fontId="7" fillId="0" borderId="18" xfId="0" applyNumberFormat="1" applyFont="1" applyFill="1" applyBorder="1" applyAlignment="1">
      <alignment horizontal="center" wrapText="1"/>
    </xf>
    <xf numFmtId="0" fontId="7" fillId="0" borderId="77" xfId="0" applyFont="1" applyBorder="1" applyAlignment="1">
      <alignment horizontal="right"/>
    </xf>
    <xf numFmtId="0" fontId="7" fillId="0" borderId="78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75" xfId="0" applyFont="1" applyBorder="1" applyAlignment="1" quotePrefix="1">
      <alignment horizontal="left" wrapText="1"/>
    </xf>
    <xf numFmtId="0" fontId="7" fillId="0" borderId="0" xfId="0" applyFont="1" applyAlignment="1" quotePrefix="1">
      <alignment horizontal="center"/>
    </xf>
    <xf numFmtId="0" fontId="7" fillId="0" borderId="0" xfId="0" applyFont="1" applyFill="1" applyAlignment="1" quotePrefix="1">
      <alignment horizontal="center"/>
    </xf>
    <xf numFmtId="0" fontId="7" fillId="0" borderId="0" xfId="0" applyFont="1" applyFill="1" applyAlignment="1">
      <alignment horizontal="center"/>
    </xf>
    <xf numFmtId="3" fontId="1" fillId="21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%20APLV\261109%20Proyectos%202010\mongallo\Mongallo%20240209\Pres%20Proy%20Mongallo%20Negrawas%20verif%20febrero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CONFIG~1\Temp\261109%20Proyectos%202010\mongallo\090508%20Pres%20Proy%20Mongallo%20Negrawas%20modificar%20mar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CONFIG~1\Temp\090508%20Pres%20Proy%20Mongallo%20Negrawas%20Letrin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0.890\Propuestas%202008\mongallo\090808%20Propuesta%20Mongallo%20para%20JAPON\08-07-08%20Pres%20Proy%20Mongallo%20Negrawas%20Vs.Carmen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le por obra"/>
      <sheetName val="Resumen"/>
      <sheetName val="consol obra"/>
      <sheetName val="consol global JAIME"/>
      <sheetName val="consol global (CARMEN)"/>
      <sheetName val="Desglose Mano de obra calif"/>
      <sheetName val="Proy. y Consumo"/>
      <sheetName val="presup de letrinas"/>
      <sheetName val="consol global de Let."/>
      <sheetName val="consol de Let. Carmen"/>
      <sheetName val="Desglose aporte comunidad"/>
      <sheetName val="Aporte APLV"/>
      <sheetName val="Aporte Comunidad"/>
      <sheetName val="Aporte Alcaldia"/>
      <sheetName val="Hnos x la salud"/>
      <sheetName val="JAPON"/>
    </sheetNames>
    <sheetDataSet>
      <sheetData sheetId="0">
        <row r="58">
          <cell r="E58">
            <v>296</v>
          </cell>
        </row>
      </sheetData>
      <sheetData sheetId="1">
        <row r="7">
          <cell r="B7" t="str">
            <v>Cemento Canal</v>
          </cell>
          <cell r="C7">
            <v>700</v>
          </cell>
          <cell r="D7" t="str">
            <v>bolsas</v>
          </cell>
          <cell r="E7">
            <v>180</v>
          </cell>
        </row>
        <row r="8">
          <cell r="B8" t="str">
            <v>Cemento Blanco</v>
          </cell>
          <cell r="C8">
            <v>1</v>
          </cell>
          <cell r="D8" t="str">
            <v>qq</v>
          </cell>
          <cell r="E8">
            <v>350</v>
          </cell>
        </row>
        <row r="9">
          <cell r="B9" t="str">
            <v>Cemento Rojo</v>
          </cell>
          <cell r="C9">
            <v>1</v>
          </cell>
          <cell r="D9" t="str">
            <v>qq</v>
          </cell>
          <cell r="E9">
            <v>1300</v>
          </cell>
        </row>
        <row r="10">
          <cell r="B10" t="str">
            <v>Arena de Motastepe</v>
          </cell>
          <cell r="C10">
            <v>40</v>
          </cell>
          <cell r="D10" t="str">
            <v>m3</v>
          </cell>
          <cell r="E10">
            <v>700</v>
          </cell>
        </row>
        <row r="11">
          <cell r="B11" t="str">
            <v>Arena del rio Yaoya</v>
          </cell>
          <cell r="C11">
            <v>35</v>
          </cell>
          <cell r="D11" t="str">
            <v>m3</v>
          </cell>
          <cell r="E11">
            <v>400</v>
          </cell>
        </row>
        <row r="12">
          <cell r="B12" t="str">
            <v>Piedrin triturado 3/4"</v>
          </cell>
          <cell r="C12">
            <v>29</v>
          </cell>
          <cell r="D12" t="str">
            <v>m3</v>
          </cell>
          <cell r="E12">
            <v>850</v>
          </cell>
        </row>
        <row r="13">
          <cell r="B13" t="str">
            <v>Ladrillo Cuarteron 24 x 12 x 5cm</v>
          </cell>
          <cell r="C13">
            <v>6720</v>
          </cell>
          <cell r="D13" t="str">
            <v>Unidad</v>
          </cell>
          <cell r="E13">
            <v>1.6</v>
          </cell>
        </row>
        <row r="14">
          <cell r="B14" t="str">
            <v>Hierro Corrugado stándar de 3/8"</v>
          </cell>
          <cell r="C14">
            <v>26.5</v>
          </cell>
          <cell r="D14" t="str">
            <v>qq</v>
          </cell>
          <cell r="E14">
            <v>1500</v>
          </cell>
        </row>
        <row r="15">
          <cell r="B15" t="str">
            <v>Hierro Liso stándar de 1/4"</v>
          </cell>
          <cell r="C15">
            <v>8.5</v>
          </cell>
          <cell r="D15" t="str">
            <v>qq</v>
          </cell>
          <cell r="E15">
            <v>1400</v>
          </cell>
        </row>
        <row r="16">
          <cell r="B16" t="str">
            <v>Alambre de amarre</v>
          </cell>
          <cell r="C16">
            <v>125</v>
          </cell>
          <cell r="D16" t="str">
            <v>lbs</v>
          </cell>
          <cell r="E16">
            <v>20</v>
          </cell>
        </row>
        <row r="17">
          <cell r="B17" t="str">
            <v>Clavos Corrientes de 2-1/2", 3" y 4"</v>
          </cell>
          <cell r="C17">
            <v>30</v>
          </cell>
          <cell r="D17" t="str">
            <v>lbs</v>
          </cell>
          <cell r="E17">
            <v>20</v>
          </cell>
        </row>
        <row r="18">
          <cell r="B18" t="str">
            <v>Tapas Metalicas de 60 x 60 cm</v>
          </cell>
          <cell r="C18">
            <v>11</v>
          </cell>
          <cell r="D18" t="str">
            <v>Unidad</v>
          </cell>
          <cell r="E18">
            <v>950</v>
          </cell>
        </row>
        <row r="19">
          <cell r="B19" t="str">
            <v>Pintura anticorrocibo 1/4 gln</v>
          </cell>
          <cell r="C19">
            <v>4</v>
          </cell>
          <cell r="D19" t="str">
            <v>Gln</v>
          </cell>
          <cell r="E19">
            <v>78</v>
          </cell>
        </row>
        <row r="20">
          <cell r="B20" t="str">
            <v>Aditivo</v>
          </cell>
          <cell r="C20">
            <v>3</v>
          </cell>
          <cell r="D20" t="str">
            <v>Gln</v>
          </cell>
          <cell r="E20">
            <v>300</v>
          </cell>
        </row>
        <row r="21">
          <cell r="B21" t="str">
            <v>Sacos</v>
          </cell>
          <cell r="C21">
            <v>2000</v>
          </cell>
          <cell r="D21" t="str">
            <v>Unidad</v>
          </cell>
          <cell r="E21">
            <v>7</v>
          </cell>
        </row>
        <row r="22">
          <cell r="B22" t="str">
            <v>Plastico Negro</v>
          </cell>
          <cell r="C22">
            <v>150</v>
          </cell>
          <cell r="D22" t="str">
            <v>Yarda</v>
          </cell>
          <cell r="E22">
            <v>30</v>
          </cell>
        </row>
        <row r="23">
          <cell r="B23" t="str">
            <v>Sellador de Concreto Fino y aspero</v>
          </cell>
          <cell r="C23">
            <v>2</v>
          </cell>
          <cell r="D23" t="str">
            <v>Gln</v>
          </cell>
          <cell r="E23">
            <v>450</v>
          </cell>
        </row>
        <row r="24">
          <cell r="B24" t="str">
            <v>Bolsas Plasticas</v>
          </cell>
          <cell r="C24">
            <v>1000</v>
          </cell>
          <cell r="D24" t="str">
            <v>Unidad</v>
          </cell>
          <cell r="E24">
            <v>7</v>
          </cell>
        </row>
        <row r="25">
          <cell r="B25" t="str">
            <v>Mazos de 10 Lbs</v>
          </cell>
          <cell r="C25">
            <v>12</v>
          </cell>
          <cell r="D25" t="str">
            <v>Unidad</v>
          </cell>
          <cell r="E25">
            <v>850</v>
          </cell>
        </row>
        <row r="26">
          <cell r="B26" t="str">
            <v>Guantes</v>
          </cell>
          <cell r="C26">
            <v>20</v>
          </cell>
          <cell r="D26" t="str">
            <v>Par</v>
          </cell>
          <cell r="E26">
            <v>60</v>
          </cell>
        </row>
        <row r="27">
          <cell r="B27" t="str">
            <v>Valdes de Cinz</v>
          </cell>
          <cell r="C27">
            <v>24</v>
          </cell>
          <cell r="D27" t="str">
            <v>Gln</v>
          </cell>
          <cell r="E27">
            <v>250</v>
          </cell>
        </row>
        <row r="28">
          <cell r="B28" t="str">
            <v>Cuñas de Hierro</v>
          </cell>
          <cell r="C28">
            <v>18</v>
          </cell>
          <cell r="D28" t="str">
            <v>Unidad</v>
          </cell>
          <cell r="E28">
            <v>220</v>
          </cell>
        </row>
        <row r="29">
          <cell r="B29" t="str">
            <v>Brochas 2" y 3"</v>
          </cell>
          <cell r="C29">
            <v>2</v>
          </cell>
          <cell r="D29" t="str">
            <v>Unidad</v>
          </cell>
          <cell r="E29">
            <v>30</v>
          </cell>
        </row>
        <row r="30">
          <cell r="B30" t="str">
            <v>Cedazo Nº 8 y 6</v>
          </cell>
          <cell r="C30">
            <v>4</v>
          </cell>
          <cell r="D30" t="str">
            <v>Yarda</v>
          </cell>
          <cell r="E30">
            <v>35</v>
          </cell>
        </row>
        <row r="31">
          <cell r="B31" t="str">
            <v>Lanilla</v>
          </cell>
          <cell r="C31">
            <v>30</v>
          </cell>
          <cell r="D31" t="str">
            <v>Yarda</v>
          </cell>
          <cell r="E31">
            <v>60</v>
          </cell>
        </row>
        <row r="32">
          <cell r="B32" t="str">
            <v>Disluyente</v>
          </cell>
          <cell r="C32">
            <v>4</v>
          </cell>
          <cell r="D32" t="str">
            <v>Gln</v>
          </cell>
          <cell r="E32">
            <v>200</v>
          </cell>
        </row>
        <row r="33">
          <cell r="B33" t="str">
            <v>Escofinas</v>
          </cell>
          <cell r="C33">
            <v>3</v>
          </cell>
          <cell r="D33" t="str">
            <v>Unidad</v>
          </cell>
          <cell r="E33">
            <v>120</v>
          </cell>
        </row>
        <row r="34">
          <cell r="B34" t="str">
            <v>Bridas 8"</v>
          </cell>
          <cell r="C34">
            <v>4</v>
          </cell>
          <cell r="D34" t="str">
            <v>Unidad</v>
          </cell>
          <cell r="E34">
            <v>30</v>
          </cell>
        </row>
        <row r="35">
          <cell r="B35" t="str">
            <v>Candados</v>
          </cell>
          <cell r="C35">
            <v>12</v>
          </cell>
          <cell r="D35" t="str">
            <v>Unidad</v>
          </cell>
          <cell r="E35">
            <v>95</v>
          </cell>
        </row>
        <row r="36">
          <cell r="B36" t="str">
            <v>Pintura de Aceite  Cubeta</v>
          </cell>
          <cell r="C36">
            <v>1</v>
          </cell>
          <cell r="D36" t="str">
            <v>Cubeta</v>
          </cell>
          <cell r="E36">
            <v>1080</v>
          </cell>
        </row>
        <row r="37">
          <cell r="B37" t="str">
            <v>Alambre de Pua # 14</v>
          </cell>
          <cell r="C37">
            <v>5</v>
          </cell>
          <cell r="D37" t="str">
            <v>Rollo</v>
          </cell>
          <cell r="E37">
            <v>1200</v>
          </cell>
        </row>
        <row r="38">
          <cell r="B38" t="str">
            <v>Grapas</v>
          </cell>
          <cell r="C38">
            <v>10</v>
          </cell>
          <cell r="D38" t="str">
            <v>lbs</v>
          </cell>
          <cell r="E38">
            <v>20</v>
          </cell>
        </row>
        <row r="39">
          <cell r="D39" t="str">
            <v> </v>
          </cell>
          <cell r="E39" t="str">
            <v>Sub Total</v>
          </cell>
        </row>
        <row r="41">
          <cell r="B41" t="str">
            <v>Tablas de 1"x 12"x 5 vrs</v>
          </cell>
          <cell r="C41">
            <v>4</v>
          </cell>
          <cell r="D41" t="str">
            <v>docena</v>
          </cell>
          <cell r="E41">
            <v>2800</v>
          </cell>
        </row>
        <row r="42">
          <cell r="B42" t="str">
            <v>Alfajillas de 2" x 4"x 5 vrs</v>
          </cell>
          <cell r="C42">
            <v>4</v>
          </cell>
          <cell r="D42" t="str">
            <v>docena</v>
          </cell>
          <cell r="E42">
            <v>2100</v>
          </cell>
        </row>
        <row r="43">
          <cell r="B43" t="str">
            <v>Reglas de 1"x 3" x 5vrs</v>
          </cell>
          <cell r="C43">
            <v>2</v>
          </cell>
          <cell r="D43" t="str">
            <v>docena</v>
          </cell>
          <cell r="E43">
            <v>1500</v>
          </cell>
        </row>
        <row r="44">
          <cell r="E44" t="str">
            <v>Sub Total</v>
          </cell>
        </row>
        <row r="45">
          <cell r="E45" t="str">
            <v>Costo total</v>
          </cell>
        </row>
        <row r="47">
          <cell r="B47" t="str">
            <v>Tuberia PVC SDR 41    4"</v>
          </cell>
          <cell r="C47">
            <v>192</v>
          </cell>
          <cell r="D47" t="str">
            <v>Unidad</v>
          </cell>
          <cell r="E47">
            <v>492</v>
          </cell>
        </row>
        <row r="48">
          <cell r="B48" t="str">
            <v>Tuberia PVC SDR 32.5  4"</v>
          </cell>
          <cell r="C48">
            <v>58</v>
          </cell>
          <cell r="D48" t="str">
            <v>Unidad</v>
          </cell>
          <cell r="E48">
            <v>615</v>
          </cell>
        </row>
        <row r="49">
          <cell r="B49" t="str">
            <v>Tuberia PVC SDR 41    3"</v>
          </cell>
          <cell r="C49">
            <v>6</v>
          </cell>
          <cell r="D49" t="str">
            <v>Unidad</v>
          </cell>
          <cell r="E49">
            <v>296</v>
          </cell>
        </row>
        <row r="50">
          <cell r="B50" t="str">
            <v>Tuberia PVC SDR 32.5 3"</v>
          </cell>
          <cell r="C50">
            <v>36</v>
          </cell>
          <cell r="D50" t="str">
            <v>Unidad</v>
          </cell>
          <cell r="E50">
            <v>374</v>
          </cell>
        </row>
        <row r="51">
          <cell r="B51" t="str">
            <v>Tuberia PVC SDR 17  2-1/2"</v>
          </cell>
          <cell r="C51">
            <v>43</v>
          </cell>
          <cell r="D51" t="str">
            <v>Unidad</v>
          </cell>
          <cell r="E51">
            <v>458.88</v>
          </cell>
        </row>
        <row r="52">
          <cell r="B52" t="str">
            <v>Tuberia PVC SDR 26  2-1/2"</v>
          </cell>
          <cell r="C52">
            <v>446</v>
          </cell>
          <cell r="D52" t="str">
            <v>Unidad</v>
          </cell>
          <cell r="E52">
            <v>306</v>
          </cell>
        </row>
        <row r="53">
          <cell r="B53" t="str">
            <v>Tuberia PVC SDR 32.5  2-1/2"</v>
          </cell>
          <cell r="C53">
            <v>194</v>
          </cell>
          <cell r="D53" t="str">
            <v>Unidad</v>
          </cell>
          <cell r="E53">
            <v>251</v>
          </cell>
        </row>
        <row r="54">
          <cell r="B54" t="str">
            <v>Tuberia PVC SDR 17  2"</v>
          </cell>
          <cell r="C54">
            <v>465</v>
          </cell>
          <cell r="D54" t="str">
            <v>Unidad</v>
          </cell>
          <cell r="E54">
            <v>315</v>
          </cell>
        </row>
        <row r="55">
          <cell r="B55" t="str">
            <v>Tuberia PVC SDR 26  2"</v>
          </cell>
          <cell r="C55">
            <v>656</v>
          </cell>
          <cell r="D55" t="str">
            <v>Unidad</v>
          </cell>
          <cell r="E55">
            <v>209</v>
          </cell>
        </row>
        <row r="56">
          <cell r="B56" t="str">
            <v>Tuberia PVC SDR 32.5  2"</v>
          </cell>
          <cell r="C56">
            <v>556</v>
          </cell>
          <cell r="D56" t="str">
            <v>Unidad</v>
          </cell>
          <cell r="E56">
            <v>171</v>
          </cell>
        </row>
        <row r="57">
          <cell r="B57" t="str">
            <v>Tuberia PVC SDR 41  2"</v>
          </cell>
          <cell r="C57">
            <v>0</v>
          </cell>
          <cell r="D57" t="str">
            <v>Unidad</v>
          </cell>
          <cell r="E57">
            <v>186</v>
          </cell>
        </row>
        <row r="58">
          <cell r="B58" t="str">
            <v>Tuberia PVC SDR 26 1-1/2"</v>
          </cell>
          <cell r="C58">
            <v>35</v>
          </cell>
          <cell r="D58" t="str">
            <v>Unidad</v>
          </cell>
          <cell r="E58">
            <v>187</v>
          </cell>
        </row>
        <row r="59">
          <cell r="B59" t="str">
            <v>Tuberia PVC SDR 17 1-1/2"</v>
          </cell>
          <cell r="C59">
            <v>95</v>
          </cell>
          <cell r="D59" t="str">
            <v>Unidad</v>
          </cell>
          <cell r="E59">
            <v>188</v>
          </cell>
        </row>
        <row r="60">
          <cell r="B60" t="str">
            <v>Tuberia PVC SDR 32.5 1-1/2"</v>
          </cell>
          <cell r="C60">
            <v>819</v>
          </cell>
          <cell r="D60" t="str">
            <v>Unidad</v>
          </cell>
          <cell r="E60">
            <v>112</v>
          </cell>
        </row>
        <row r="61">
          <cell r="B61" t="str">
            <v>Tuberia PVC SDR 26  1-1/4"</v>
          </cell>
          <cell r="C61">
            <v>211</v>
          </cell>
          <cell r="D61" t="str">
            <v>Unidad</v>
          </cell>
          <cell r="E61">
            <v>102.89</v>
          </cell>
        </row>
        <row r="62">
          <cell r="B62" t="str">
            <v>Tuberia PVC SDR 26  1"</v>
          </cell>
          <cell r="C62">
            <v>580</v>
          </cell>
          <cell r="D62" t="str">
            <v>Unidad</v>
          </cell>
          <cell r="E62">
            <v>75.38</v>
          </cell>
        </row>
        <row r="63">
          <cell r="B63" t="str">
            <v>Tuberia PVC SDR 17  3/4"</v>
          </cell>
          <cell r="C63">
            <v>361</v>
          </cell>
          <cell r="D63" t="str">
            <v>Unidad</v>
          </cell>
          <cell r="E63">
            <v>61.62</v>
          </cell>
        </row>
        <row r="64">
          <cell r="B64" t="str">
            <v>Tuberia PVC SDR 13.5  1/2"</v>
          </cell>
          <cell r="C64">
            <v>1863</v>
          </cell>
          <cell r="D64" t="str">
            <v>Unidad</v>
          </cell>
          <cell r="E64">
            <v>47.86</v>
          </cell>
        </row>
        <row r="65">
          <cell r="B65" t="str">
            <v>Tuberia HG 2-1/2"</v>
          </cell>
          <cell r="C65">
            <v>8</v>
          </cell>
          <cell r="D65" t="str">
            <v>Unidad</v>
          </cell>
          <cell r="E65">
            <v>2000</v>
          </cell>
        </row>
        <row r="66">
          <cell r="B66" t="str">
            <v>Tuberia HG 2"</v>
          </cell>
          <cell r="C66">
            <v>13</v>
          </cell>
          <cell r="D66" t="str">
            <v>Unidad</v>
          </cell>
          <cell r="E66">
            <v>1625</v>
          </cell>
        </row>
        <row r="67">
          <cell r="B67" t="str">
            <v>Tuberia HG 1-1/2"</v>
          </cell>
          <cell r="C67">
            <v>11</v>
          </cell>
          <cell r="D67" t="str">
            <v>Unidad</v>
          </cell>
          <cell r="E67">
            <v>1272</v>
          </cell>
        </row>
        <row r="68">
          <cell r="B68" t="str">
            <v>Tuberia HG 1-1/4"</v>
          </cell>
          <cell r="C68">
            <v>2</v>
          </cell>
          <cell r="D68" t="str">
            <v>Unidad</v>
          </cell>
          <cell r="E68">
            <v>1076</v>
          </cell>
        </row>
        <row r="69">
          <cell r="B69" t="str">
            <v>Tuberia HG 1"</v>
          </cell>
          <cell r="C69">
            <v>5.17</v>
          </cell>
          <cell r="D69" t="str">
            <v>Unidad</v>
          </cell>
          <cell r="E69">
            <v>800</v>
          </cell>
        </row>
        <row r="70">
          <cell r="B70" t="str">
            <v>Tuberia HG 1/2"</v>
          </cell>
          <cell r="C70">
            <v>0</v>
          </cell>
          <cell r="D70" t="str">
            <v>Unidad</v>
          </cell>
          <cell r="E70">
            <v>364</v>
          </cell>
        </row>
        <row r="71">
          <cell r="E71" t="str">
            <v>Sub Total</v>
          </cell>
        </row>
        <row r="72">
          <cell r="E72" t="str">
            <v>Costo total</v>
          </cell>
        </row>
        <row r="74">
          <cell r="B74" t="str">
            <v>Reduccion Lisa 4" x 3"</v>
          </cell>
          <cell r="C74">
            <v>2</v>
          </cell>
          <cell r="D74" t="str">
            <v>Unidad</v>
          </cell>
          <cell r="E74">
            <v>61</v>
          </cell>
        </row>
        <row r="75">
          <cell r="B75" t="str">
            <v>Reduccion Lisa 3" x 2-1/2"</v>
          </cell>
          <cell r="C75">
            <v>2</v>
          </cell>
          <cell r="D75" t="str">
            <v>Unidad</v>
          </cell>
          <cell r="E75">
            <v>61</v>
          </cell>
        </row>
        <row r="76">
          <cell r="B76" t="str">
            <v>Reduccion Lisa 3" x 2"</v>
          </cell>
          <cell r="C76">
            <v>9</v>
          </cell>
          <cell r="D76" t="str">
            <v>Unidad</v>
          </cell>
          <cell r="E76">
            <v>32</v>
          </cell>
        </row>
        <row r="77">
          <cell r="B77" t="str">
            <v>Reduccion Lisa 2 1/2" x 2"</v>
          </cell>
          <cell r="C77">
            <v>55</v>
          </cell>
          <cell r="D77" t="str">
            <v>Unidad</v>
          </cell>
          <cell r="E77">
            <v>15.48</v>
          </cell>
        </row>
        <row r="78">
          <cell r="B78" t="str">
            <v>Reduccion Lisa 2" x  1/2"</v>
          </cell>
          <cell r="C78">
            <v>73</v>
          </cell>
          <cell r="D78" t="str">
            <v>Unidad</v>
          </cell>
          <cell r="E78">
            <v>11.02</v>
          </cell>
        </row>
        <row r="79">
          <cell r="B79" t="str">
            <v>Reduccion Lisa 2" x 1 1/2"</v>
          </cell>
          <cell r="C79">
            <v>24</v>
          </cell>
          <cell r="D79" t="str">
            <v>Unidad</v>
          </cell>
          <cell r="E79">
            <v>13.09</v>
          </cell>
        </row>
        <row r="80">
          <cell r="B80" t="str">
            <v>Reduccion Lisa PVC    2" x 1-1/4"</v>
          </cell>
          <cell r="C80">
            <v>0</v>
          </cell>
          <cell r="D80" t="str">
            <v>Unidad</v>
          </cell>
          <cell r="E80">
            <v>13</v>
          </cell>
        </row>
        <row r="81">
          <cell r="B81" t="str">
            <v>Reduccion Lisa PVC    2" x 1"</v>
          </cell>
          <cell r="C81">
            <v>1</v>
          </cell>
          <cell r="D81" t="str">
            <v>Unidad</v>
          </cell>
          <cell r="E81">
            <v>11.8</v>
          </cell>
        </row>
        <row r="82">
          <cell r="B82" t="str">
            <v>Reduccion Lisa PVC    2" x 3/4"</v>
          </cell>
          <cell r="C82">
            <v>2</v>
          </cell>
          <cell r="D82" t="str">
            <v>Unidad</v>
          </cell>
          <cell r="E82">
            <v>12</v>
          </cell>
        </row>
        <row r="83">
          <cell r="B83" t="str">
            <v>Reductores PVC 1 ½ x 1 1/4"</v>
          </cell>
          <cell r="C83">
            <v>1</v>
          </cell>
          <cell r="D83" t="str">
            <v>Unidad</v>
          </cell>
          <cell r="E83">
            <v>8</v>
          </cell>
        </row>
        <row r="84">
          <cell r="B84" t="str">
            <v>Reductores PVC 1 ½ x 1"</v>
          </cell>
          <cell r="C84">
            <v>2</v>
          </cell>
          <cell r="D84" t="str">
            <v>Unidad</v>
          </cell>
          <cell r="E84">
            <v>8</v>
          </cell>
        </row>
        <row r="85">
          <cell r="B85" t="str">
            <v>Reductores PVC 1 ½ x 3/4"</v>
          </cell>
          <cell r="C85">
            <v>1</v>
          </cell>
          <cell r="D85" t="str">
            <v>Unidad</v>
          </cell>
          <cell r="E85">
            <v>6.96</v>
          </cell>
        </row>
        <row r="86">
          <cell r="B86" t="str">
            <v>Reductores PVC 1 ½ x ½"</v>
          </cell>
          <cell r="C86">
            <v>40</v>
          </cell>
          <cell r="D86" t="str">
            <v>Unidad</v>
          </cell>
          <cell r="E86">
            <v>7</v>
          </cell>
        </row>
        <row r="87">
          <cell r="B87" t="str">
            <v>Reductores PVC 1 1/4" x 3/4"</v>
          </cell>
          <cell r="C87">
            <v>0</v>
          </cell>
          <cell r="D87" t="str">
            <v>Unidad</v>
          </cell>
          <cell r="E87">
            <v>5.82</v>
          </cell>
        </row>
        <row r="88">
          <cell r="B88" t="str">
            <v>Reductores PVC 1 1/4" x 1"</v>
          </cell>
          <cell r="C88">
            <v>1</v>
          </cell>
          <cell r="D88" t="str">
            <v>Unidad</v>
          </cell>
          <cell r="E88">
            <v>5.82</v>
          </cell>
        </row>
        <row r="89">
          <cell r="B89" t="str">
            <v>Reductores PVC 1 1/4" x ½"</v>
          </cell>
          <cell r="C89">
            <v>5</v>
          </cell>
          <cell r="D89" t="str">
            <v>Unidad</v>
          </cell>
          <cell r="E89">
            <v>5</v>
          </cell>
        </row>
        <row r="90">
          <cell r="B90" t="str">
            <v>Reductores PVC 1 x ¾"</v>
          </cell>
          <cell r="C90">
            <v>4</v>
          </cell>
          <cell r="D90" t="str">
            <v>Unidad</v>
          </cell>
          <cell r="E90">
            <v>3.86</v>
          </cell>
        </row>
        <row r="91">
          <cell r="B91" t="str">
            <v>Reductores PVC 1 x 1/2"</v>
          </cell>
          <cell r="C91">
            <v>14</v>
          </cell>
          <cell r="D91" t="str">
            <v>Unidad</v>
          </cell>
          <cell r="E91">
            <v>3.86</v>
          </cell>
        </row>
        <row r="92">
          <cell r="B92" t="str">
            <v>Redutores 3/4 x 1/2</v>
          </cell>
          <cell r="C92">
            <v>20</v>
          </cell>
          <cell r="D92" t="str">
            <v>Unidad</v>
          </cell>
          <cell r="E92">
            <v>2.63</v>
          </cell>
        </row>
        <row r="93">
          <cell r="B93" t="str">
            <v>Reductores de Flujo 1/2"</v>
          </cell>
          <cell r="C93">
            <v>0</v>
          </cell>
          <cell r="D93" t="str">
            <v>Unidad</v>
          </cell>
          <cell r="E93">
            <v>3.86</v>
          </cell>
        </row>
        <row r="94">
          <cell r="B94" t="str">
            <v>Tee normal PVC 4"</v>
          </cell>
          <cell r="C94">
            <v>1</v>
          </cell>
          <cell r="D94" t="str">
            <v>Unidad</v>
          </cell>
          <cell r="E94">
            <v>167.54</v>
          </cell>
        </row>
        <row r="95">
          <cell r="B95" t="str">
            <v>Tee normal PVC 3"</v>
          </cell>
          <cell r="C95">
            <v>7</v>
          </cell>
          <cell r="D95" t="str">
            <v>Unidad</v>
          </cell>
          <cell r="E95">
            <v>89.98</v>
          </cell>
        </row>
        <row r="96">
          <cell r="B96" t="str">
            <v>Tee normal PVC 2 ½"</v>
          </cell>
          <cell r="C96">
            <v>52</v>
          </cell>
          <cell r="D96" t="str">
            <v>Unidad</v>
          </cell>
          <cell r="E96">
            <v>61</v>
          </cell>
        </row>
        <row r="97">
          <cell r="B97" t="str">
            <v>Tee normal PVC 2"</v>
          </cell>
          <cell r="C97">
            <v>16</v>
          </cell>
          <cell r="D97" t="str">
            <v>Unidad</v>
          </cell>
          <cell r="E97">
            <v>24</v>
          </cell>
        </row>
        <row r="98">
          <cell r="B98" t="str">
            <v>Tee normal PVC 1 ½"</v>
          </cell>
          <cell r="C98">
            <v>37</v>
          </cell>
          <cell r="D98" t="str">
            <v>Unidad</v>
          </cell>
          <cell r="E98">
            <v>16</v>
          </cell>
        </row>
        <row r="99">
          <cell r="B99" t="str">
            <v>Tee normal PVC 1 ¼"</v>
          </cell>
          <cell r="C99">
            <v>5</v>
          </cell>
          <cell r="D99" t="str">
            <v>Unidad</v>
          </cell>
          <cell r="E99">
            <v>12.6</v>
          </cell>
        </row>
        <row r="100">
          <cell r="B100" t="str">
            <v>Tee normal PVC 1"</v>
          </cell>
          <cell r="C100">
            <v>14</v>
          </cell>
          <cell r="D100" t="str">
            <v>Unidad</v>
          </cell>
          <cell r="E100">
            <v>9</v>
          </cell>
        </row>
        <row r="101">
          <cell r="B101" t="str">
            <v>Tee normal PVC ¾"</v>
          </cell>
          <cell r="C101">
            <v>17</v>
          </cell>
          <cell r="D101" t="str">
            <v>Unidad</v>
          </cell>
          <cell r="E101">
            <v>4.7</v>
          </cell>
        </row>
        <row r="102">
          <cell r="B102" t="str">
            <v>Tee normal PVC ½"</v>
          </cell>
          <cell r="C102">
            <v>25</v>
          </cell>
          <cell r="D102" t="str">
            <v>Unidad</v>
          </cell>
          <cell r="E102">
            <v>4</v>
          </cell>
        </row>
        <row r="103">
          <cell r="B103" t="str">
            <v>Adaptadores Hembra ½"</v>
          </cell>
          <cell r="C103">
            <v>114.45</v>
          </cell>
          <cell r="D103" t="str">
            <v>Unidad</v>
          </cell>
          <cell r="E103">
            <v>2.63</v>
          </cell>
        </row>
        <row r="104">
          <cell r="B104" t="str">
            <v>Adaptadores macho ½"</v>
          </cell>
          <cell r="C104">
            <v>3</v>
          </cell>
          <cell r="D104" t="str">
            <v>Unidad</v>
          </cell>
          <cell r="E104">
            <v>2.3</v>
          </cell>
        </row>
        <row r="105">
          <cell r="B105" t="str">
            <v>Adaptadores macho 1 1/2"</v>
          </cell>
          <cell r="C105">
            <v>3</v>
          </cell>
          <cell r="D105" t="str">
            <v>Unidad</v>
          </cell>
          <cell r="E105">
            <v>8</v>
          </cell>
        </row>
        <row r="106">
          <cell r="B106" t="str">
            <v>Adaptadores macho 1 1/4"</v>
          </cell>
          <cell r="C106">
            <v>3</v>
          </cell>
          <cell r="D106" t="str">
            <v>Unidad</v>
          </cell>
          <cell r="E106">
            <v>6.2</v>
          </cell>
        </row>
        <row r="107">
          <cell r="B107" t="str">
            <v>Adaptadores macho 2 1/2"</v>
          </cell>
          <cell r="C107">
            <v>6</v>
          </cell>
          <cell r="D107" t="str">
            <v>Unidad</v>
          </cell>
          <cell r="E107">
            <v>20.29</v>
          </cell>
        </row>
        <row r="108">
          <cell r="B108" t="str">
            <v>Adaptadores macho 2"</v>
          </cell>
          <cell r="C108">
            <v>3</v>
          </cell>
          <cell r="D108" t="str">
            <v>Unidad</v>
          </cell>
          <cell r="E108">
            <v>11.1</v>
          </cell>
        </row>
        <row r="109">
          <cell r="B109" t="str">
            <v>Adaptadores macho 1"</v>
          </cell>
          <cell r="C109">
            <v>3</v>
          </cell>
          <cell r="D109" t="str">
            <v>Unidad</v>
          </cell>
          <cell r="E109">
            <v>5.03</v>
          </cell>
        </row>
        <row r="110">
          <cell r="B110" t="str">
            <v>Aceite Negro</v>
          </cell>
          <cell r="C110">
            <v>0</v>
          </cell>
          <cell r="D110" t="str">
            <v>Gln</v>
          </cell>
          <cell r="E110">
            <v>6.03</v>
          </cell>
        </row>
        <row r="111">
          <cell r="B111" t="str">
            <v>Caja Para Proteger Medidor</v>
          </cell>
          <cell r="C111">
            <v>109</v>
          </cell>
          <cell r="D111" t="str">
            <v>Unidad</v>
          </cell>
          <cell r="E111">
            <v>850</v>
          </cell>
        </row>
        <row r="112">
          <cell r="B112" t="str">
            <v>Camisas HG ½"</v>
          </cell>
          <cell r="C112">
            <v>0</v>
          </cell>
          <cell r="D112" t="str">
            <v>Unidad</v>
          </cell>
          <cell r="E112">
            <v>10</v>
          </cell>
        </row>
        <row r="113">
          <cell r="B113" t="str">
            <v>Camisas HG 1"</v>
          </cell>
          <cell r="C113">
            <v>6</v>
          </cell>
          <cell r="D113" t="str">
            <v>Unidad</v>
          </cell>
          <cell r="E113">
            <v>15</v>
          </cell>
        </row>
        <row r="114">
          <cell r="B114" t="str">
            <v>Camisas HG 1-1/4"</v>
          </cell>
          <cell r="C114">
            <v>4</v>
          </cell>
          <cell r="D114" t="str">
            <v>Unidad</v>
          </cell>
          <cell r="E114">
            <v>30</v>
          </cell>
        </row>
        <row r="115">
          <cell r="B115" t="str">
            <v>Camisas HG 1-1/2"</v>
          </cell>
          <cell r="C115">
            <v>10</v>
          </cell>
          <cell r="D115" t="str">
            <v>Unidad</v>
          </cell>
          <cell r="E115">
            <v>40</v>
          </cell>
        </row>
        <row r="116">
          <cell r="B116" t="str">
            <v>Camisas HG 2"</v>
          </cell>
          <cell r="C116">
            <v>12</v>
          </cell>
          <cell r="D116" t="str">
            <v>Unidad</v>
          </cell>
          <cell r="E116">
            <v>60</v>
          </cell>
        </row>
        <row r="117">
          <cell r="B117" t="str">
            <v>Camisas HG 2-1/2"</v>
          </cell>
          <cell r="C117">
            <v>8</v>
          </cell>
          <cell r="D117" t="str">
            <v>Unidad</v>
          </cell>
          <cell r="E117">
            <v>280</v>
          </cell>
        </row>
        <row r="118">
          <cell r="B118" t="str">
            <v>Codos H.G. de 90°  1"</v>
          </cell>
          <cell r="C118">
            <v>1</v>
          </cell>
          <cell r="D118" t="str">
            <v>Unidad</v>
          </cell>
          <cell r="E118">
            <v>21</v>
          </cell>
        </row>
        <row r="119">
          <cell r="B119" t="str">
            <v>Codos HG 90º ½"</v>
          </cell>
          <cell r="C119">
            <v>0</v>
          </cell>
          <cell r="D119" t="str">
            <v>Unidad</v>
          </cell>
          <cell r="E119">
            <v>11</v>
          </cell>
        </row>
        <row r="120">
          <cell r="B120" t="str">
            <v>Codos H.G. de 45°  2-1/2"</v>
          </cell>
          <cell r="C120">
            <v>3</v>
          </cell>
          <cell r="D120" t="str">
            <v>Unidad</v>
          </cell>
          <cell r="E120">
            <v>100</v>
          </cell>
        </row>
        <row r="121">
          <cell r="B121" t="str">
            <v>Codos H.G. de 45°  2"</v>
          </cell>
          <cell r="C121">
            <v>3</v>
          </cell>
          <cell r="D121" t="str">
            <v>Unidad</v>
          </cell>
          <cell r="E121">
            <v>74</v>
          </cell>
        </row>
        <row r="122">
          <cell r="B122" t="str">
            <v>Codos H.G. de 45°  1-1/2"</v>
          </cell>
          <cell r="C122">
            <v>3</v>
          </cell>
          <cell r="D122" t="str">
            <v>Unidad</v>
          </cell>
          <cell r="E122">
            <v>48.5</v>
          </cell>
        </row>
        <row r="123">
          <cell r="B123" t="str">
            <v>Codos H.G. de 45°  1-1/4"</v>
          </cell>
          <cell r="C123">
            <v>3</v>
          </cell>
          <cell r="D123" t="str">
            <v>Unidad</v>
          </cell>
          <cell r="E123">
            <v>41</v>
          </cell>
        </row>
        <row r="124">
          <cell r="B124" t="str">
            <v>Codos H.G. de 45°  1"</v>
          </cell>
          <cell r="C124">
            <v>3</v>
          </cell>
          <cell r="D124" t="str">
            <v>Unidad</v>
          </cell>
          <cell r="E124">
            <v>25.5</v>
          </cell>
        </row>
        <row r="125">
          <cell r="B125" t="str">
            <v>Codos Liso PVC 90º 1/2"</v>
          </cell>
          <cell r="C125">
            <v>332</v>
          </cell>
          <cell r="D125" t="str">
            <v>Unidad</v>
          </cell>
          <cell r="E125">
            <v>10</v>
          </cell>
        </row>
        <row r="126">
          <cell r="B126" t="str">
            <v>Codos PVC 90º 1 1/4"</v>
          </cell>
          <cell r="C126">
            <v>0</v>
          </cell>
          <cell r="D126" t="str">
            <v>Unidad</v>
          </cell>
          <cell r="E126">
            <v>10.8</v>
          </cell>
        </row>
        <row r="127">
          <cell r="B127" t="str">
            <v>Codos PVC 90º 3/4"</v>
          </cell>
          <cell r="C127">
            <v>0</v>
          </cell>
          <cell r="D127" t="str">
            <v>Unidad</v>
          </cell>
          <cell r="E127">
            <v>4.5</v>
          </cell>
        </row>
        <row r="128">
          <cell r="B128" t="str">
            <v>Codos PVC de 90º 2"</v>
          </cell>
          <cell r="C128">
            <v>0</v>
          </cell>
          <cell r="D128" t="str">
            <v>Unidad</v>
          </cell>
          <cell r="E128">
            <v>24.6</v>
          </cell>
        </row>
        <row r="129">
          <cell r="B129" t="str">
            <v>Codos PVC de 90º 2-1/2"</v>
          </cell>
          <cell r="C129">
            <v>5</v>
          </cell>
          <cell r="D129" t="str">
            <v>Unidad</v>
          </cell>
          <cell r="E129">
            <v>54.91</v>
          </cell>
        </row>
        <row r="130">
          <cell r="B130" t="str">
            <v>Codos PVC de 90º 3"</v>
          </cell>
          <cell r="C130">
            <v>4</v>
          </cell>
          <cell r="D130" t="str">
            <v>Unidad</v>
          </cell>
          <cell r="E130">
            <v>88.3</v>
          </cell>
        </row>
        <row r="131">
          <cell r="B131" t="str">
            <v>Codos PVC de 90º 4"</v>
          </cell>
          <cell r="C131">
            <v>4</v>
          </cell>
          <cell r="D131" t="str">
            <v>Unidad</v>
          </cell>
          <cell r="E131">
            <v>110.6</v>
          </cell>
        </row>
        <row r="132">
          <cell r="B132" t="str">
            <v>Codos PVC de 45º 2-1/2"</v>
          </cell>
          <cell r="C132">
            <v>3</v>
          </cell>
          <cell r="D132" t="str">
            <v>Unidad</v>
          </cell>
          <cell r="E132">
            <v>56.55</v>
          </cell>
        </row>
        <row r="133">
          <cell r="B133" t="str">
            <v>Codos PVC de 45º 2"</v>
          </cell>
          <cell r="C133">
            <v>3</v>
          </cell>
          <cell r="D133" t="str">
            <v>Unidad</v>
          </cell>
          <cell r="E133">
            <v>30.8</v>
          </cell>
        </row>
        <row r="134">
          <cell r="B134" t="str">
            <v>Codos PVC de 45º 1-1/2"</v>
          </cell>
          <cell r="C134">
            <v>3</v>
          </cell>
          <cell r="D134" t="str">
            <v>Unidad</v>
          </cell>
          <cell r="E134">
            <v>22.81</v>
          </cell>
        </row>
        <row r="135">
          <cell r="B135" t="str">
            <v>Codos PVC de 45º 1-1/4"</v>
          </cell>
          <cell r="C135">
            <v>3</v>
          </cell>
          <cell r="D135" t="str">
            <v>Unidad</v>
          </cell>
          <cell r="E135">
            <v>15.88</v>
          </cell>
        </row>
        <row r="136">
          <cell r="B136" t="str">
            <v>Codos PVC de 45º 1"</v>
          </cell>
          <cell r="C136">
            <v>3</v>
          </cell>
          <cell r="D136" t="str">
            <v>Unidad</v>
          </cell>
          <cell r="E136">
            <v>8.97</v>
          </cell>
        </row>
        <row r="137">
          <cell r="B137" t="str">
            <v>Codos Liso PVC Sanitario de 90º 4"</v>
          </cell>
          <cell r="C137">
            <v>0</v>
          </cell>
          <cell r="D137" t="str">
            <v>Unidad</v>
          </cell>
          <cell r="E137">
            <v>0</v>
          </cell>
        </row>
        <row r="138">
          <cell r="B138" t="str">
            <v>Codos Liso PVC Sanitario de 45º 4"</v>
          </cell>
          <cell r="C138">
            <v>4</v>
          </cell>
          <cell r="D138" t="str">
            <v>Unidad</v>
          </cell>
          <cell r="E138">
            <v>46.79</v>
          </cell>
        </row>
        <row r="139">
          <cell r="B139" t="str">
            <v>Codos  Sanitario PVC de 45º 2"</v>
          </cell>
          <cell r="C139">
            <v>0</v>
          </cell>
          <cell r="D139" t="str">
            <v>Unidad</v>
          </cell>
          <cell r="E139">
            <v>10.7</v>
          </cell>
        </row>
        <row r="140">
          <cell r="B140" t="str">
            <v>Codos PVC de 45º 3"</v>
          </cell>
          <cell r="C140">
            <v>0</v>
          </cell>
          <cell r="D140" t="str">
            <v>Unidad</v>
          </cell>
          <cell r="E140">
            <v>66.5</v>
          </cell>
        </row>
        <row r="141">
          <cell r="B141" t="str">
            <v>Codos Roscado PVC 90º 1/2"</v>
          </cell>
          <cell r="C141">
            <v>114.45</v>
          </cell>
          <cell r="D141" t="str">
            <v>Unidad</v>
          </cell>
          <cell r="E141">
            <v>2.6</v>
          </cell>
        </row>
        <row r="142">
          <cell r="B142" t="str">
            <v>Llaves de Chorro de ½"</v>
          </cell>
          <cell r="C142">
            <v>0</v>
          </cell>
          <cell r="D142" t="str">
            <v>Unidad</v>
          </cell>
          <cell r="E142">
            <v>66</v>
          </cell>
        </row>
        <row r="143">
          <cell r="B143" t="str">
            <v>Llaves de Pase PVC de ½"</v>
          </cell>
          <cell r="C143">
            <v>114.45</v>
          </cell>
          <cell r="D143" t="str">
            <v>Unidad</v>
          </cell>
          <cell r="E143">
            <v>54</v>
          </cell>
        </row>
        <row r="144">
          <cell r="B144" t="str">
            <v>Medidires de Agua</v>
          </cell>
          <cell r="C144">
            <v>109</v>
          </cell>
          <cell r="D144" t="str">
            <v>Unidad</v>
          </cell>
          <cell r="E144">
            <v>750</v>
          </cell>
        </row>
        <row r="145">
          <cell r="B145" t="str">
            <v>Niples HG de 10 cm</v>
          </cell>
          <cell r="C145">
            <v>0</v>
          </cell>
          <cell r="D145" t="str">
            <v>Unidad</v>
          </cell>
          <cell r="E145">
            <v>25</v>
          </cell>
        </row>
        <row r="146">
          <cell r="B146" t="str">
            <v>Pegamento PVC ¼ gln</v>
          </cell>
          <cell r="C146">
            <v>53</v>
          </cell>
          <cell r="D146" t="str">
            <v>Unidad</v>
          </cell>
          <cell r="E146">
            <v>107.4</v>
          </cell>
        </row>
        <row r="147">
          <cell r="B147" t="str">
            <v>Teflon de 3/4"</v>
          </cell>
          <cell r="C147">
            <v>80</v>
          </cell>
          <cell r="D147" t="str">
            <v>Rollo</v>
          </cell>
          <cell r="E147">
            <v>6</v>
          </cell>
        </row>
        <row r="148">
          <cell r="B148" t="str">
            <v>Union Lisa PVC 3"</v>
          </cell>
          <cell r="C148">
            <v>4</v>
          </cell>
          <cell r="D148" t="str">
            <v>Unidad</v>
          </cell>
          <cell r="E148">
            <v>46.17</v>
          </cell>
        </row>
        <row r="149">
          <cell r="B149" t="str">
            <v>Union Lisa PVC 4"</v>
          </cell>
          <cell r="C149">
            <v>2</v>
          </cell>
          <cell r="D149" t="str">
            <v>Unidad</v>
          </cell>
          <cell r="E149">
            <v>50.99</v>
          </cell>
        </row>
        <row r="150">
          <cell r="B150" t="str">
            <v>Union  Maleable Mixta de 2-1/2" HG</v>
          </cell>
          <cell r="C150">
            <v>3</v>
          </cell>
          <cell r="D150" t="str">
            <v>Unidad</v>
          </cell>
          <cell r="E150">
            <v>230</v>
          </cell>
        </row>
        <row r="151">
          <cell r="B151" t="str">
            <v>Union  Maleable Mixta de 2" HG</v>
          </cell>
          <cell r="C151">
            <v>4</v>
          </cell>
          <cell r="D151" t="str">
            <v>Unidad</v>
          </cell>
          <cell r="E151">
            <v>227.5</v>
          </cell>
        </row>
        <row r="152">
          <cell r="B152" t="str">
            <v>Union  Maleable Mixta de 1-1/2" HG</v>
          </cell>
          <cell r="C152">
            <v>4</v>
          </cell>
          <cell r="D152" t="str">
            <v>Unidad</v>
          </cell>
          <cell r="E152">
            <v>145.5</v>
          </cell>
        </row>
        <row r="153">
          <cell r="B153" t="str">
            <v>Union  Maleable Mixta de 1-1/4" HG</v>
          </cell>
          <cell r="C153">
            <v>1</v>
          </cell>
          <cell r="D153" t="str">
            <v>Unidad</v>
          </cell>
          <cell r="E153">
            <v>102</v>
          </cell>
        </row>
        <row r="154">
          <cell r="B154" t="str">
            <v>Union  Maleable Mixta de 1" HG</v>
          </cell>
          <cell r="C154">
            <v>2</v>
          </cell>
          <cell r="D154" t="str">
            <v>Unidad</v>
          </cell>
          <cell r="E154">
            <v>84</v>
          </cell>
        </row>
        <row r="155">
          <cell r="B155" t="str">
            <v>Valvula de Compuerta de Bronce 4"</v>
          </cell>
          <cell r="C155">
            <v>1</v>
          </cell>
          <cell r="D155" t="str">
            <v>Unidad</v>
          </cell>
          <cell r="E155">
            <v>3500</v>
          </cell>
        </row>
        <row r="156">
          <cell r="B156" t="str">
            <v>Valvula de Compuerta de Bronce 2"</v>
          </cell>
          <cell r="C156">
            <v>1</v>
          </cell>
          <cell r="D156" t="str">
            <v>Unidad</v>
          </cell>
          <cell r="E156">
            <v>1800</v>
          </cell>
        </row>
      </sheetData>
      <sheetData sheetId="3">
        <row r="21">
          <cell r="C21">
            <v>60000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le por obra"/>
      <sheetName val="Resumen"/>
      <sheetName val="consol obra"/>
      <sheetName val="consol global JAIME"/>
      <sheetName val="consol global (CARMEN)"/>
      <sheetName val="Desglose Mano de obra calif"/>
      <sheetName val="Proy. y Consumo"/>
      <sheetName val="presup de letrinas"/>
      <sheetName val="consol global de Let."/>
      <sheetName val="consol de Let. Carmen"/>
      <sheetName val="Desglose aporte comunidad"/>
      <sheetName val="Aporte APLV"/>
      <sheetName val="Aporte Comunidad"/>
      <sheetName val="Aporte Alcaldia"/>
      <sheetName val="Hnos x la salud"/>
      <sheetName val="JAPON"/>
    </sheetNames>
    <sheetDataSet>
      <sheetData sheetId="8">
        <row r="10">
          <cell r="C10">
            <v>474314.39</v>
          </cell>
          <cell r="D10">
            <v>22770.734037445993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ol global de Let."/>
      <sheetName val="consol de Let. Carmen"/>
      <sheetName val="Desglose aporte comunidad"/>
    </sheetNames>
    <sheetDataSet>
      <sheetData sheetId="0">
        <row r="5">
          <cell r="C5">
            <v>216360.9</v>
          </cell>
        </row>
        <row r="6">
          <cell r="C6">
            <v>100250</v>
          </cell>
        </row>
        <row r="7">
          <cell r="C7">
            <v>43547.49</v>
          </cell>
        </row>
        <row r="8">
          <cell r="C8">
            <v>59850</v>
          </cell>
        </row>
        <row r="9">
          <cell r="C9">
            <v>54306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lle por obra"/>
      <sheetName val="Resumen"/>
      <sheetName val="consol obra JAIME"/>
      <sheetName val="consol global (CARMEN)"/>
      <sheetName val="consol global JAIME"/>
      <sheetName val="Desglose Mano de obra calif"/>
      <sheetName val="Proy. y Consumo"/>
      <sheetName val="presup de letrinas"/>
      <sheetName val="consol de Let. Carmen"/>
      <sheetName val="consol global Let.JAIME"/>
      <sheetName val="Desglose aporte comunidad"/>
      <sheetName val="Aporte APLV"/>
      <sheetName val="Aporte Comunidad"/>
      <sheetName val="Aporte Alcaldia"/>
      <sheetName val="desglose aporte Alcaldia"/>
      <sheetName val="JAPON"/>
    </sheetNames>
    <sheetDataSet>
      <sheetData sheetId="2">
        <row r="4">
          <cell r="C4" t="str">
            <v>Tipo de Cambio 08 de Julio 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I357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7.140625" style="18" customWidth="1"/>
    <col min="2" max="2" width="54.8515625" style="18" customWidth="1"/>
    <col min="3" max="3" width="15.00390625" style="61" customWidth="1"/>
    <col min="4" max="4" width="12.421875" style="18" customWidth="1"/>
    <col min="5" max="5" width="12.28125" style="19" customWidth="1"/>
    <col min="6" max="6" width="17.57421875" style="19" customWidth="1"/>
    <col min="7" max="7" width="17.28125" style="2" customWidth="1"/>
    <col min="8" max="8" width="14.00390625" style="19" bestFit="1" customWidth="1"/>
    <col min="9" max="16384" width="11.421875" style="18" customWidth="1"/>
  </cols>
  <sheetData>
    <row r="1" spans="1:5" ht="15.75">
      <c r="A1" s="150" t="s">
        <v>278</v>
      </c>
      <c r="B1" s="150"/>
      <c r="C1" s="150"/>
      <c r="D1" s="150"/>
      <c r="E1" s="298"/>
    </row>
    <row r="2" spans="1:5" ht="15.75">
      <c r="A2" s="150" t="s">
        <v>283</v>
      </c>
      <c r="B2" s="150"/>
      <c r="C2" s="150"/>
      <c r="D2" s="150"/>
      <c r="E2" s="298"/>
    </row>
    <row r="3" spans="1:5" ht="15.75">
      <c r="A3" s="150" t="s">
        <v>284</v>
      </c>
      <c r="B3" s="150"/>
      <c r="C3" s="150"/>
      <c r="D3" s="150"/>
      <c r="E3" s="298"/>
    </row>
    <row r="5" spans="1:6" ht="15.75">
      <c r="A5" s="601" t="s">
        <v>297</v>
      </c>
      <c r="B5" s="601"/>
      <c r="C5" s="601"/>
      <c r="D5" s="601"/>
      <c r="E5" s="601"/>
      <c r="F5" s="601"/>
    </row>
    <row r="6" spans="1:6" ht="15.75">
      <c r="A6" s="601" t="s">
        <v>337</v>
      </c>
      <c r="B6" s="601"/>
      <c r="C6" s="601"/>
      <c r="D6" s="601"/>
      <c r="E6" s="601"/>
      <c r="F6" s="601"/>
    </row>
    <row r="7" spans="1:7" ht="15.75">
      <c r="A7" s="74"/>
      <c r="B7" s="74"/>
      <c r="C7" s="50"/>
      <c r="D7" s="74"/>
      <c r="E7" s="51"/>
      <c r="F7" s="51"/>
      <c r="G7" s="9"/>
    </row>
    <row r="8" spans="1:8" s="2" customFormat="1" ht="25.5" customHeight="1">
      <c r="A8" s="44" t="s">
        <v>0</v>
      </c>
      <c r="B8" s="44" t="s">
        <v>1</v>
      </c>
      <c r="C8" s="50" t="s">
        <v>2</v>
      </c>
      <c r="D8" s="74" t="s">
        <v>3</v>
      </c>
      <c r="E8" s="600" t="s">
        <v>4</v>
      </c>
      <c r="F8" s="51" t="s">
        <v>5</v>
      </c>
      <c r="H8" s="48"/>
    </row>
    <row r="9" spans="1:8" s="2" customFormat="1" ht="15.75">
      <c r="A9" s="602" t="s">
        <v>172</v>
      </c>
      <c r="B9" s="602"/>
      <c r="C9" s="178">
        <v>1</v>
      </c>
      <c r="D9" s="74"/>
      <c r="E9" s="600"/>
      <c r="F9" s="51" t="s">
        <v>296</v>
      </c>
      <c r="H9" s="48"/>
    </row>
    <row r="10" spans="1:6" ht="15.75">
      <c r="A10" s="44" t="s">
        <v>6</v>
      </c>
      <c r="B10" s="44"/>
      <c r="C10" s="48"/>
      <c r="D10" s="2"/>
      <c r="E10" s="48"/>
      <c r="F10" s="48"/>
    </row>
    <row r="11" spans="1:7" ht="15">
      <c r="A11" s="60"/>
      <c r="B11" s="60" t="s">
        <v>152</v>
      </c>
      <c r="C11" s="62">
        <v>150</v>
      </c>
      <c r="D11" s="238" t="str">
        <f>VLOOKUP(B11,'[1]Resumen'!$B$7:$D$156,3,0)</f>
        <v>bolsas</v>
      </c>
      <c r="E11" s="270">
        <f>VLOOKUP(B11,'[1]Resumen'!B$7:E$156,4,FALSE)</f>
        <v>180</v>
      </c>
      <c r="F11" s="260">
        <f>SUM(C11*E11)</f>
        <v>27000</v>
      </c>
      <c r="G11" s="60"/>
    </row>
    <row r="12" spans="1:7" ht="15">
      <c r="A12" s="60"/>
      <c r="B12" s="60" t="s">
        <v>164</v>
      </c>
      <c r="C12" s="62">
        <v>1</v>
      </c>
      <c r="D12" s="238" t="str">
        <f>VLOOKUP(B12,'[1]Resumen'!$B$7:$D$156,3,0)</f>
        <v>qq</v>
      </c>
      <c r="E12" s="270">
        <f>VLOOKUP(B12,'[1]Resumen'!B$7:E$156,4,FALSE)</f>
        <v>350</v>
      </c>
      <c r="F12" s="260">
        <f aca="true" t="shared" si="0" ref="F12:F34">E12*C12</f>
        <v>350</v>
      </c>
      <c r="G12" s="60"/>
    </row>
    <row r="13" spans="1:7" ht="15">
      <c r="A13" s="60"/>
      <c r="B13" s="60" t="s">
        <v>165</v>
      </c>
      <c r="C13" s="62">
        <v>1</v>
      </c>
      <c r="D13" s="238" t="str">
        <f>VLOOKUP(B13,'[1]Resumen'!$B$7:$D$156,3,0)</f>
        <v>qq</v>
      </c>
      <c r="E13" s="270">
        <f>VLOOKUP(B13,'[1]Resumen'!B$7:E$156,4,FALSE)</f>
        <v>1300</v>
      </c>
      <c r="F13" s="260">
        <f t="shared" si="0"/>
        <v>1300</v>
      </c>
      <c r="G13" s="60"/>
    </row>
    <row r="14" spans="1:7" ht="15">
      <c r="A14" s="60"/>
      <c r="B14" s="60" t="s">
        <v>150</v>
      </c>
      <c r="C14" s="62">
        <v>15</v>
      </c>
      <c r="D14" s="238" t="str">
        <f>VLOOKUP(B14,'[1]Resumen'!$B$7:$D$156,3,0)</f>
        <v>m3</v>
      </c>
      <c r="E14" s="270">
        <f>VLOOKUP(B14,'[1]Resumen'!B$7:E$156,4,FALSE)</f>
        <v>700</v>
      </c>
      <c r="F14" s="260">
        <f t="shared" si="0"/>
        <v>10500</v>
      </c>
      <c r="G14" s="60"/>
    </row>
    <row r="15" spans="1:7" ht="15">
      <c r="A15" s="60"/>
      <c r="B15" s="60" t="s">
        <v>151</v>
      </c>
      <c r="C15" s="62">
        <v>10</v>
      </c>
      <c r="D15" s="238" t="str">
        <f>VLOOKUP(B15,'[1]Resumen'!$B$7:$D$156,3,0)</f>
        <v>m3</v>
      </c>
      <c r="E15" s="270">
        <f>VLOOKUP(B15,'[1]Resumen'!B$7:E$156,4,FALSE)</f>
        <v>850</v>
      </c>
      <c r="F15" s="260">
        <f t="shared" si="0"/>
        <v>8500</v>
      </c>
      <c r="G15" s="60"/>
    </row>
    <row r="16" spans="1:7" ht="15">
      <c r="A16" s="60"/>
      <c r="B16" s="60" t="s">
        <v>149</v>
      </c>
      <c r="C16" s="62">
        <v>2000</v>
      </c>
      <c r="D16" s="238" t="str">
        <f>VLOOKUP(B16,'[1]Resumen'!$B$7:$D$156,3,0)</f>
        <v>Unidad</v>
      </c>
      <c r="E16" s="270">
        <f>VLOOKUP(B16,'[1]Resumen'!B$7:E$156,4,FALSE)</f>
        <v>1.6</v>
      </c>
      <c r="F16" s="260">
        <f t="shared" si="0"/>
        <v>3200</v>
      </c>
      <c r="G16" s="60"/>
    </row>
    <row r="17" spans="1:7" ht="15">
      <c r="A17" s="60"/>
      <c r="B17" s="60" t="s">
        <v>209</v>
      </c>
      <c r="C17" s="62">
        <v>5</v>
      </c>
      <c r="D17" s="238" t="str">
        <f>VLOOKUP(B17,'[1]Resumen'!$B$7:$D$156,3,0)</f>
        <v>qq</v>
      </c>
      <c r="E17" s="270">
        <f>VLOOKUP(B17,'[1]Resumen'!B$7:E$156,4,FALSE)</f>
        <v>1500</v>
      </c>
      <c r="F17" s="260">
        <f t="shared" si="0"/>
        <v>7500</v>
      </c>
      <c r="G17" s="60"/>
    </row>
    <row r="18" spans="1:7" ht="15">
      <c r="A18" s="60"/>
      <c r="B18" s="60" t="s">
        <v>210</v>
      </c>
      <c r="C18" s="62">
        <v>2</v>
      </c>
      <c r="D18" s="238" t="str">
        <f>VLOOKUP(B18,'[1]Resumen'!$B$7:$D$156,3,0)</f>
        <v>qq</v>
      </c>
      <c r="E18" s="270">
        <f>VLOOKUP(B18,'[1]Resumen'!B$7:E$156,4,FALSE)</f>
        <v>1400</v>
      </c>
      <c r="F18" s="260">
        <f t="shared" si="0"/>
        <v>2800</v>
      </c>
      <c r="G18" s="60"/>
    </row>
    <row r="19" spans="1:7" ht="15">
      <c r="A19" s="60"/>
      <c r="B19" s="60" t="s">
        <v>9</v>
      </c>
      <c r="C19" s="62">
        <v>30</v>
      </c>
      <c r="D19" s="238" t="str">
        <f>VLOOKUP(B19,'[1]Resumen'!$B$7:$D$156,3,0)</f>
        <v>lbs</v>
      </c>
      <c r="E19" s="270">
        <f>VLOOKUP(B19,'[1]Resumen'!B$7:E$156,4,FALSE)</f>
        <v>20</v>
      </c>
      <c r="F19" s="260">
        <f t="shared" si="0"/>
        <v>600</v>
      </c>
      <c r="G19" s="60"/>
    </row>
    <row r="20" spans="1:7" ht="15">
      <c r="A20" s="60"/>
      <c r="B20" s="60" t="s">
        <v>153</v>
      </c>
      <c r="C20" s="62">
        <v>15</v>
      </c>
      <c r="D20" s="238" t="str">
        <f>VLOOKUP(B20,'[1]Resumen'!$B$7:$D$156,3,0)</f>
        <v>lbs</v>
      </c>
      <c r="E20" s="270">
        <f>VLOOKUP(B20,'[1]Resumen'!B$7:E$156,4,FALSE)</f>
        <v>20</v>
      </c>
      <c r="F20" s="260">
        <f t="shared" si="0"/>
        <v>300</v>
      </c>
      <c r="G20" s="60"/>
    </row>
    <row r="21" spans="1:7" ht="15">
      <c r="A21" s="60"/>
      <c r="B21" s="60" t="s">
        <v>140</v>
      </c>
      <c r="C21" s="62">
        <v>1</v>
      </c>
      <c r="D21" s="238" t="str">
        <f>VLOOKUP(B21,'[1]Resumen'!$B$7:$D$156,3,0)</f>
        <v>Gln</v>
      </c>
      <c r="E21" s="270">
        <f>VLOOKUP(B21,'[1]Resumen'!B$7:E$156,4,FALSE)</f>
        <v>300</v>
      </c>
      <c r="F21" s="260">
        <f t="shared" si="0"/>
        <v>300</v>
      </c>
      <c r="G21" s="60"/>
    </row>
    <row r="22" spans="1:7" ht="15">
      <c r="A22" s="60"/>
      <c r="B22" s="60" t="s">
        <v>141</v>
      </c>
      <c r="C22" s="62">
        <v>2000</v>
      </c>
      <c r="D22" s="238" t="str">
        <f>VLOOKUP(B22,'[1]Resumen'!$B$7:$D$156,3,0)</f>
        <v>Unidad</v>
      </c>
      <c r="E22" s="270">
        <f>VLOOKUP(B22,'[1]Resumen'!B$7:E$156,4,FALSE)</f>
        <v>7</v>
      </c>
      <c r="F22" s="260">
        <f t="shared" si="0"/>
        <v>14000</v>
      </c>
      <c r="G22" s="60"/>
    </row>
    <row r="23" spans="1:7" ht="15">
      <c r="A23" s="60"/>
      <c r="B23" s="60" t="s">
        <v>142</v>
      </c>
      <c r="C23" s="62">
        <v>100</v>
      </c>
      <c r="D23" s="238" t="str">
        <f>VLOOKUP(B23,'[1]Resumen'!$B$7:$D$156,3,0)</f>
        <v>Yarda</v>
      </c>
      <c r="E23" s="270">
        <f>VLOOKUP(B23,'[1]Resumen'!B$7:E$156,4,FALSE)</f>
        <v>30</v>
      </c>
      <c r="F23" s="260">
        <f t="shared" si="0"/>
        <v>3000</v>
      </c>
      <c r="G23" s="60"/>
    </row>
    <row r="24" spans="1:7" ht="15">
      <c r="A24" s="60"/>
      <c r="B24" s="60" t="s">
        <v>143</v>
      </c>
      <c r="C24" s="62">
        <v>2</v>
      </c>
      <c r="D24" s="238" t="str">
        <f>VLOOKUP(B24,'[1]Resumen'!$B$7:$D$156,3,0)</f>
        <v>Gln</v>
      </c>
      <c r="E24" s="270">
        <f>VLOOKUP(B24,'[1]Resumen'!B$7:E$156,4,FALSE)</f>
        <v>450</v>
      </c>
      <c r="F24" s="260">
        <f t="shared" si="0"/>
        <v>900</v>
      </c>
      <c r="G24" s="60"/>
    </row>
    <row r="25" spans="1:7" ht="15">
      <c r="A25" s="60"/>
      <c r="B25" s="60" t="s">
        <v>144</v>
      </c>
      <c r="C25" s="62">
        <v>500</v>
      </c>
      <c r="D25" s="238" t="str">
        <f>VLOOKUP(B25,'[1]Resumen'!$B$7:$D$156,3,0)</f>
        <v>Unidad</v>
      </c>
      <c r="E25" s="270">
        <f>VLOOKUP(B25,'[1]Resumen'!B$7:E$156,4,FALSE)</f>
        <v>7</v>
      </c>
      <c r="F25" s="260">
        <f t="shared" si="0"/>
        <v>3500</v>
      </c>
      <c r="G25" s="60"/>
    </row>
    <row r="26" spans="1:7" ht="15">
      <c r="A26" s="60"/>
      <c r="B26" s="60" t="s">
        <v>146</v>
      </c>
      <c r="C26" s="62">
        <v>2</v>
      </c>
      <c r="D26" s="238" t="str">
        <f>VLOOKUP(B26,'[1]Resumen'!$B$7:$D$156,3,0)</f>
        <v>Unidad</v>
      </c>
      <c r="E26" s="270">
        <f>VLOOKUP(B26,'[1]Resumen'!B$7:E$156,4,FALSE)</f>
        <v>30</v>
      </c>
      <c r="F26" s="260">
        <f t="shared" si="0"/>
        <v>60</v>
      </c>
      <c r="G26" s="60"/>
    </row>
    <row r="27" spans="1:7" ht="15">
      <c r="A27" s="60"/>
      <c r="B27" s="60" t="s">
        <v>265</v>
      </c>
      <c r="C27" s="62">
        <v>24</v>
      </c>
      <c r="D27" s="238" t="s">
        <v>3</v>
      </c>
      <c r="E27" s="270">
        <v>250</v>
      </c>
      <c r="F27" s="260">
        <f>SUM(C27*E27)</f>
        <v>6000</v>
      </c>
      <c r="G27" s="60"/>
    </row>
    <row r="28" spans="1:7" ht="15">
      <c r="A28" s="60"/>
      <c r="B28" s="60" t="s">
        <v>147</v>
      </c>
      <c r="C28" s="62">
        <v>4</v>
      </c>
      <c r="D28" s="238" t="str">
        <f>VLOOKUP(B28,'[1]Resumen'!$B$7:$D$156,3,0)</f>
        <v>Yarda</v>
      </c>
      <c r="E28" s="270">
        <f>VLOOKUP(B28,'[1]Resumen'!B$7:E$156,4,FALSE)</f>
        <v>35</v>
      </c>
      <c r="F28" s="260">
        <f t="shared" si="0"/>
        <v>140</v>
      </c>
      <c r="G28" s="60"/>
    </row>
    <row r="29" spans="1:7" ht="15">
      <c r="A29" s="60"/>
      <c r="B29" s="60" t="s">
        <v>145</v>
      </c>
      <c r="C29" s="62">
        <v>1</v>
      </c>
      <c r="D29" s="238" t="str">
        <f>VLOOKUP(B29,'[1]Resumen'!$B$7:$D$156,3,0)</f>
        <v>Gln</v>
      </c>
      <c r="E29" s="270">
        <f>VLOOKUP(B29,'[1]Resumen'!B$7:E$156,4,FALSE)</f>
        <v>200</v>
      </c>
      <c r="F29" s="260">
        <f t="shared" si="0"/>
        <v>200</v>
      </c>
      <c r="G29" s="60"/>
    </row>
    <row r="30" spans="1:7" ht="15">
      <c r="A30" s="60"/>
      <c r="B30" s="60" t="s">
        <v>10</v>
      </c>
      <c r="C30" s="62">
        <v>2</v>
      </c>
      <c r="D30" s="238" t="str">
        <f>VLOOKUP(B30,'[1]Resumen'!$B$7:$D$156,3,0)</f>
        <v>Unidad</v>
      </c>
      <c r="E30" s="270">
        <f>VLOOKUP(B30,'[1]Resumen'!B$7:E$156,4,FALSE)</f>
        <v>950</v>
      </c>
      <c r="F30" s="260">
        <f t="shared" si="0"/>
        <v>1900</v>
      </c>
      <c r="G30" s="60"/>
    </row>
    <row r="31" spans="1:7" ht="15">
      <c r="A31" s="60"/>
      <c r="B31" s="68" t="s">
        <v>108</v>
      </c>
      <c r="C31" s="62">
        <v>1</v>
      </c>
      <c r="D31" s="238" t="str">
        <f>VLOOKUP(B31,'[1]Resumen'!$B$7:$D$156,3,0)</f>
        <v>Gln</v>
      </c>
      <c r="E31" s="270">
        <f>VLOOKUP(B31,'[1]Resumen'!B$7:E$156,4,FALSE)</f>
        <v>78</v>
      </c>
      <c r="F31" s="260">
        <f>E31*C31</f>
        <v>78</v>
      </c>
      <c r="G31" s="60"/>
    </row>
    <row r="32" spans="1:7" ht="15">
      <c r="A32" s="60"/>
      <c r="B32" s="60" t="s">
        <v>148</v>
      </c>
      <c r="C32" s="62">
        <v>4</v>
      </c>
      <c r="D32" s="238" t="str">
        <f>VLOOKUP(B32,'[1]Resumen'!$B$7:$D$156,3,0)</f>
        <v>Unidad</v>
      </c>
      <c r="E32" s="270">
        <f>VLOOKUP(B32,'[1]Resumen'!B$7:E$156,4,FALSE)</f>
        <v>30</v>
      </c>
      <c r="F32" s="260">
        <f t="shared" si="0"/>
        <v>120</v>
      </c>
      <c r="G32" s="60"/>
    </row>
    <row r="33" spans="1:7" ht="15">
      <c r="A33" s="60"/>
      <c r="B33" s="60" t="s">
        <v>11</v>
      </c>
      <c r="C33" s="62">
        <v>2</v>
      </c>
      <c r="D33" s="238" t="str">
        <f>VLOOKUP(B33,'[1]Resumen'!$B$7:$D$156,3,0)</f>
        <v>Unidad</v>
      </c>
      <c r="E33" s="270">
        <f>VLOOKUP(B33,'[1]Resumen'!B$7:E$156,4,FALSE)</f>
        <v>95</v>
      </c>
      <c r="F33" s="260">
        <f t="shared" si="0"/>
        <v>190</v>
      </c>
      <c r="G33" s="60"/>
    </row>
    <row r="34" spans="1:7" ht="15">
      <c r="A34" s="60"/>
      <c r="B34" s="60" t="s">
        <v>30</v>
      </c>
      <c r="C34" s="62">
        <v>4</v>
      </c>
      <c r="D34" s="238" t="str">
        <f>VLOOKUP(B34,'[1]Resumen'!$B$7:$D$156,3,0)</f>
        <v>Rollo</v>
      </c>
      <c r="E34" s="270">
        <f>VLOOKUP(B34,'[1]Resumen'!B$7:E$156,4,FALSE)</f>
        <v>1200</v>
      </c>
      <c r="F34" s="260">
        <f t="shared" si="0"/>
        <v>4800</v>
      </c>
      <c r="G34" s="60"/>
    </row>
    <row r="35" spans="1:7" ht="15.75" thickBot="1">
      <c r="A35" s="60"/>
      <c r="B35" s="60" t="s">
        <v>31</v>
      </c>
      <c r="C35" s="62">
        <v>8</v>
      </c>
      <c r="D35" s="238" t="str">
        <f>VLOOKUP(B35,'[1]Resumen'!$B$7:$D$156,3,0)</f>
        <v>lbs</v>
      </c>
      <c r="E35" s="270">
        <f>VLOOKUP(B35,'[1]Resumen'!B$7:E$156,4,FALSE)</f>
        <v>20</v>
      </c>
      <c r="F35" s="301">
        <f>E35*C35</f>
        <v>160</v>
      </c>
      <c r="G35" s="60"/>
    </row>
    <row r="36" spans="1:7" ht="16.5" thickTop="1">
      <c r="A36" s="239"/>
      <c r="B36" s="239"/>
      <c r="C36" s="598" t="s">
        <v>289</v>
      </c>
      <c r="D36" s="598"/>
      <c r="E36" s="598"/>
      <c r="F36" s="302">
        <f>SUM(F11:F35)</f>
        <v>97398</v>
      </c>
      <c r="G36" s="60"/>
    </row>
    <row r="37" spans="1:7" ht="15">
      <c r="A37" s="60" t="s">
        <v>19</v>
      </c>
      <c r="B37" s="60"/>
      <c r="C37" s="60"/>
      <c r="D37" s="60"/>
      <c r="E37" s="48"/>
      <c r="F37" s="48"/>
      <c r="G37" s="60"/>
    </row>
    <row r="38" spans="1:7" ht="15">
      <c r="A38" s="60"/>
      <c r="B38" s="60"/>
      <c r="C38" s="238"/>
      <c r="D38" s="60"/>
      <c r="E38" s="48"/>
      <c r="F38" s="48"/>
      <c r="G38" s="60"/>
    </row>
    <row r="39" spans="1:7" ht="15.75" thickBot="1">
      <c r="A39" s="60"/>
      <c r="B39" s="60" t="s">
        <v>156</v>
      </c>
      <c r="C39" s="251">
        <v>8</v>
      </c>
      <c r="D39" s="241" t="s">
        <v>3</v>
      </c>
      <c r="E39" s="53">
        <v>492</v>
      </c>
      <c r="F39" s="303">
        <f>SUM(C39*E39)</f>
        <v>3936</v>
      </c>
      <c r="G39" s="60"/>
    </row>
    <row r="40" spans="1:7" ht="16.5" thickTop="1">
      <c r="A40" s="60"/>
      <c r="B40" s="60"/>
      <c r="C40" s="251"/>
      <c r="D40" s="60"/>
      <c r="E40" s="270" t="s">
        <v>12</v>
      </c>
      <c r="F40" s="47">
        <f>SUM(F39:F39)</f>
        <v>3936</v>
      </c>
      <c r="G40" s="60" t="s">
        <v>20</v>
      </c>
    </row>
    <row r="41" spans="1:7" ht="15">
      <c r="A41" s="60" t="s">
        <v>21</v>
      </c>
      <c r="B41" s="60"/>
      <c r="C41" s="251"/>
      <c r="D41" s="60"/>
      <c r="E41" s="48" t="s">
        <v>8</v>
      </c>
      <c r="F41" s="48"/>
      <c r="G41" s="60"/>
    </row>
    <row r="42" spans="1:7" ht="15">
      <c r="A42" s="60"/>
      <c r="B42" s="68" t="s">
        <v>155</v>
      </c>
      <c r="C42" s="251">
        <v>4</v>
      </c>
      <c r="D42" s="241" t="s">
        <v>3</v>
      </c>
      <c r="E42" s="53">
        <v>110.6</v>
      </c>
      <c r="F42" s="45">
        <f>SUM(E42*C42)</f>
        <v>442.4</v>
      </c>
      <c r="G42" s="60"/>
    </row>
    <row r="43" spans="1:7" ht="15.75">
      <c r="A43" s="60"/>
      <c r="B43" s="68" t="s">
        <v>154</v>
      </c>
      <c r="C43" s="251">
        <v>2</v>
      </c>
      <c r="D43" s="241" t="s">
        <v>3</v>
      </c>
      <c r="E43" s="53">
        <v>50.99</v>
      </c>
      <c r="F43" s="45">
        <f>SUM(E43*C43)</f>
        <v>101.98</v>
      </c>
      <c r="G43" s="242"/>
    </row>
    <row r="44" spans="1:7" ht="15.75">
      <c r="A44" s="60"/>
      <c r="B44" s="60"/>
      <c r="C44" s="251"/>
      <c r="D44" s="60"/>
      <c r="E44" s="270" t="s">
        <v>12</v>
      </c>
      <c r="F44" s="258">
        <f>SUM(F42:F43)</f>
        <v>544.38</v>
      </c>
      <c r="G44" s="60" t="s">
        <v>22</v>
      </c>
    </row>
    <row r="45" spans="1:7" ht="15.75">
      <c r="A45" s="239"/>
      <c r="B45" s="239"/>
      <c r="C45" s="598" t="s">
        <v>290</v>
      </c>
      <c r="D45" s="598"/>
      <c r="E45" s="598"/>
      <c r="F45" s="265">
        <f>SUM(F40+F44)</f>
        <v>4480.38</v>
      </c>
      <c r="G45" s="60"/>
    </row>
    <row r="46" spans="1:7" ht="15.75">
      <c r="A46" s="60"/>
      <c r="B46" s="60"/>
      <c r="C46" s="240"/>
      <c r="D46" s="60"/>
      <c r="E46" s="46" t="s">
        <v>157</v>
      </c>
      <c r="F46" s="47">
        <f>SUM(F36+F40+F44)</f>
        <v>101878.38</v>
      </c>
      <c r="G46" s="60"/>
    </row>
    <row r="47" spans="1:8" s="9" customFormat="1" ht="16.5">
      <c r="A47" s="67" t="s">
        <v>250</v>
      </c>
      <c r="B47" s="69"/>
      <c r="C47" s="51">
        <v>2</v>
      </c>
      <c r="D47" s="60"/>
      <c r="E47" s="311"/>
      <c r="F47" s="311"/>
      <c r="G47" s="60"/>
      <c r="H47" s="180"/>
    </row>
    <row r="48" spans="1:8" s="9" customFormat="1" ht="16.5">
      <c r="A48" s="60"/>
      <c r="B48" s="60" t="s">
        <v>152</v>
      </c>
      <c r="C48" s="62">
        <v>16</v>
      </c>
      <c r="D48" s="238" t="str">
        <f>VLOOKUP(B48,'[1]Resumen'!$B$7:$D$156,3,0)</f>
        <v>bolsas</v>
      </c>
      <c r="E48" s="270">
        <v>180</v>
      </c>
      <c r="F48" s="260">
        <f aca="true" t="shared" si="1" ref="F48:F56">E48*C48</f>
        <v>2880</v>
      </c>
      <c r="G48" s="60"/>
      <c r="H48" s="180"/>
    </row>
    <row r="49" spans="1:8" s="9" customFormat="1" ht="16.5">
      <c r="A49" s="60"/>
      <c r="B49" s="60" t="s">
        <v>150</v>
      </c>
      <c r="C49" s="62">
        <v>2</v>
      </c>
      <c r="D49" s="238" t="str">
        <f>VLOOKUP(B49,'[1]Resumen'!$B$7:$D$156,3,0)</f>
        <v>m3</v>
      </c>
      <c r="E49" s="270">
        <v>700</v>
      </c>
      <c r="F49" s="260">
        <f t="shared" si="1"/>
        <v>1400</v>
      </c>
      <c r="G49" s="60"/>
      <c r="H49" s="180"/>
    </row>
    <row r="50" spans="1:8" s="9" customFormat="1" ht="16.5">
      <c r="A50" s="60"/>
      <c r="B50" s="60" t="s">
        <v>151</v>
      </c>
      <c r="C50" s="62">
        <v>1</v>
      </c>
      <c r="D50" s="238" t="str">
        <f>VLOOKUP(B50,'[1]Resumen'!$B$7:$D$156,3,0)</f>
        <v>m3</v>
      </c>
      <c r="E50" s="270">
        <v>850</v>
      </c>
      <c r="F50" s="260">
        <f t="shared" si="1"/>
        <v>850</v>
      </c>
      <c r="G50" s="60"/>
      <c r="H50" s="180"/>
    </row>
    <row r="51" spans="1:8" s="9" customFormat="1" ht="16.5">
      <c r="A51" s="60"/>
      <c r="B51" s="60" t="s">
        <v>149</v>
      </c>
      <c r="C51" s="62">
        <v>400</v>
      </c>
      <c r="D51" s="238" t="str">
        <f>VLOOKUP(B51,'[1]Resumen'!$B$7:$D$156,3,0)</f>
        <v>Unidad</v>
      </c>
      <c r="E51" s="270">
        <v>1.6</v>
      </c>
      <c r="F51" s="260">
        <f t="shared" si="1"/>
        <v>640</v>
      </c>
      <c r="G51" s="60"/>
      <c r="H51" s="180"/>
    </row>
    <row r="52" spans="1:8" s="9" customFormat="1" ht="16.5">
      <c r="A52" s="60"/>
      <c r="B52" s="60" t="s">
        <v>209</v>
      </c>
      <c r="C52" s="62">
        <v>2</v>
      </c>
      <c r="D52" s="238" t="str">
        <f>VLOOKUP(B52,'[1]Resumen'!$B$7:$D$156,3,0)</f>
        <v>qq</v>
      </c>
      <c r="E52" s="270">
        <v>1500</v>
      </c>
      <c r="F52" s="260">
        <f t="shared" si="1"/>
        <v>3000</v>
      </c>
      <c r="G52" s="60"/>
      <c r="H52" s="180"/>
    </row>
    <row r="53" spans="1:8" s="9" customFormat="1" ht="16.5">
      <c r="A53" s="60"/>
      <c r="B53" s="60" t="s">
        <v>210</v>
      </c>
      <c r="C53" s="62">
        <v>0.5</v>
      </c>
      <c r="D53" s="238" t="str">
        <f>VLOOKUP(B53,'[1]Resumen'!$B$7:$D$156,3,0)</f>
        <v>qq</v>
      </c>
      <c r="E53" s="270">
        <v>1400</v>
      </c>
      <c r="F53" s="260">
        <f t="shared" si="1"/>
        <v>700</v>
      </c>
      <c r="G53" s="60"/>
      <c r="H53" s="180"/>
    </row>
    <row r="54" spans="1:8" s="9" customFormat="1" ht="16.5">
      <c r="A54" s="60"/>
      <c r="B54" s="60" t="s">
        <v>10</v>
      </c>
      <c r="C54" s="62">
        <v>2</v>
      </c>
      <c r="D54" s="238" t="str">
        <f>VLOOKUP(B54,'[1]Resumen'!$B$7:$D$156,3,0)</f>
        <v>Unidad</v>
      </c>
      <c r="E54" s="270">
        <v>950</v>
      </c>
      <c r="F54" s="260">
        <f t="shared" si="1"/>
        <v>1900</v>
      </c>
      <c r="G54" s="60"/>
      <c r="H54" s="180"/>
    </row>
    <row r="55" spans="1:8" s="9" customFormat="1" ht="16.5">
      <c r="A55" s="60"/>
      <c r="B55" s="60" t="s">
        <v>11</v>
      </c>
      <c r="C55" s="62">
        <v>2</v>
      </c>
      <c r="D55" s="238" t="str">
        <f>VLOOKUP(B55,'[1]Resumen'!$B$7:$D$156,3,0)</f>
        <v>Unidad</v>
      </c>
      <c r="E55" s="270">
        <v>95</v>
      </c>
      <c r="F55" s="260">
        <f t="shared" si="1"/>
        <v>190</v>
      </c>
      <c r="G55" s="60"/>
      <c r="H55" s="180"/>
    </row>
    <row r="56" spans="1:8" s="9" customFormat="1" ht="16.5">
      <c r="A56" s="60"/>
      <c r="B56" s="60" t="s">
        <v>9</v>
      </c>
      <c r="C56" s="62">
        <v>6</v>
      </c>
      <c r="D56" s="238" t="str">
        <f>VLOOKUP(B56,'[1]Resumen'!$B$7:$D$156,3,0)</f>
        <v>lbs</v>
      </c>
      <c r="E56" s="270">
        <v>20</v>
      </c>
      <c r="F56" s="260">
        <f t="shared" si="1"/>
        <v>120</v>
      </c>
      <c r="G56" s="60"/>
      <c r="H56" s="180"/>
    </row>
    <row r="57" spans="1:8" s="9" customFormat="1" ht="16.5">
      <c r="A57" s="239"/>
      <c r="B57" s="598" t="s">
        <v>291</v>
      </c>
      <c r="C57" s="598"/>
      <c r="D57" s="598"/>
      <c r="E57" s="598"/>
      <c r="F57" s="265">
        <f>SUM(F48:F56)</f>
        <v>11680</v>
      </c>
      <c r="G57" s="60" t="s">
        <v>13</v>
      </c>
      <c r="H57" s="180"/>
    </row>
    <row r="58" spans="1:8" s="9" customFormat="1" ht="16.5">
      <c r="A58" s="60" t="s">
        <v>46</v>
      </c>
      <c r="B58" s="60"/>
      <c r="C58" s="62"/>
      <c r="D58" s="60"/>
      <c r="E58" s="48" t="s">
        <v>8</v>
      </c>
      <c r="F58" s="48"/>
      <c r="G58" s="60"/>
      <c r="H58" s="180"/>
    </row>
    <row r="59" spans="1:8" s="9" customFormat="1" ht="16.5">
      <c r="A59" s="60"/>
      <c r="B59" s="68" t="s">
        <v>115</v>
      </c>
      <c r="C59" s="251">
        <v>4</v>
      </c>
      <c r="D59" s="238" t="str">
        <f>VLOOKUP(B59,'[1]Resumen'!$B$7:$D$156,3,0)</f>
        <v>Unidad</v>
      </c>
      <c r="E59" s="260">
        <f>VLOOKUP(B59,'[1]Resumen'!B$7:E$156,4,FALSE)</f>
        <v>88.3</v>
      </c>
      <c r="F59" s="260">
        <f>E59*C59</f>
        <v>353.2</v>
      </c>
      <c r="G59" s="60"/>
      <c r="H59" s="180"/>
    </row>
    <row r="60" spans="1:8" s="9" customFormat="1" ht="16.5">
      <c r="A60" s="60"/>
      <c r="B60" s="68" t="s">
        <v>116</v>
      </c>
      <c r="C60" s="62">
        <v>3</v>
      </c>
      <c r="D60" s="238" t="str">
        <f>VLOOKUP(B60,'[1]Resumen'!$B$7:$D$156,3,0)</f>
        <v>Unidad</v>
      </c>
      <c r="E60" s="260">
        <f>VLOOKUP(B60,'[1]Resumen'!B$7:E$156,4,FALSE)</f>
        <v>46.17</v>
      </c>
      <c r="F60" s="260">
        <f>E60*C60</f>
        <v>138.51</v>
      </c>
      <c r="G60" s="60"/>
      <c r="H60" s="180"/>
    </row>
    <row r="61" spans="1:8" s="9" customFormat="1" ht="16.5">
      <c r="A61" s="60"/>
      <c r="B61" s="60" t="s">
        <v>27</v>
      </c>
      <c r="C61" s="62">
        <v>1</v>
      </c>
      <c r="D61" s="238" t="str">
        <f>VLOOKUP(B61,'[1]Resumen'!$B$7:$D$156,3,0)</f>
        <v>Unidad</v>
      </c>
      <c r="E61" s="260">
        <f>VLOOKUP(B61,'[1]Resumen'!B$7:E$156,4,FALSE)</f>
        <v>107.4</v>
      </c>
      <c r="F61" s="260">
        <f>E61*C61</f>
        <v>107.4</v>
      </c>
      <c r="G61" s="60"/>
      <c r="H61" s="180"/>
    </row>
    <row r="62" spans="1:8" s="9" customFormat="1" ht="16.5">
      <c r="A62" s="60"/>
      <c r="B62" s="60"/>
      <c r="C62" s="251"/>
      <c r="D62" s="60"/>
      <c r="E62" s="270" t="s">
        <v>12</v>
      </c>
      <c r="F62" s="80">
        <f>SUM(F59:F61)</f>
        <v>599.11</v>
      </c>
      <c r="G62" s="60" t="s">
        <v>22</v>
      </c>
      <c r="H62" s="180"/>
    </row>
    <row r="63" spans="1:8" s="9" customFormat="1" ht="16.5">
      <c r="A63" s="60" t="s">
        <v>23</v>
      </c>
      <c r="B63" s="60"/>
      <c r="C63" s="62"/>
      <c r="D63" s="60"/>
      <c r="E63" s="53"/>
      <c r="F63" s="48"/>
      <c r="G63" s="60"/>
      <c r="H63" s="180"/>
    </row>
    <row r="64" spans="1:8" s="9" customFormat="1" ht="16.5">
      <c r="A64" s="60"/>
      <c r="B64" s="60" t="s">
        <v>203</v>
      </c>
      <c r="C64" s="62">
        <v>6</v>
      </c>
      <c r="D64" s="238" t="str">
        <f>VLOOKUP(B64,'[1]Resumen'!$B$7:$D$156,3,0)</f>
        <v>Unidad</v>
      </c>
      <c r="E64" s="53">
        <f>'[1]detalle por obra'!$E$58</f>
        <v>296</v>
      </c>
      <c r="F64" s="260">
        <f>E64*C64</f>
        <v>1776</v>
      </c>
      <c r="G64" s="60"/>
      <c r="H64" s="180"/>
    </row>
    <row r="65" spans="1:8" s="9" customFormat="1" ht="16.5">
      <c r="A65" s="68"/>
      <c r="B65" s="68"/>
      <c r="C65" s="63"/>
      <c r="D65" s="63"/>
      <c r="E65" s="311"/>
      <c r="F65" s="80">
        <f>SUM(F64)</f>
        <v>1776</v>
      </c>
      <c r="G65" s="60" t="s">
        <v>20</v>
      </c>
      <c r="H65" s="180"/>
    </row>
    <row r="66" spans="1:8" s="9" customFormat="1" ht="16.5">
      <c r="A66" s="239"/>
      <c r="B66" s="239"/>
      <c r="C66" s="598" t="s">
        <v>290</v>
      </c>
      <c r="D66" s="598"/>
      <c r="E66" s="598"/>
      <c r="F66" s="265">
        <f>SUM(F62+F65)</f>
        <v>2375.11</v>
      </c>
      <c r="G66" s="60"/>
      <c r="H66" s="180"/>
    </row>
    <row r="67" spans="1:7" ht="15.75">
      <c r="A67" s="60"/>
      <c r="B67" s="60"/>
      <c r="C67" s="240"/>
      <c r="D67" s="241"/>
      <c r="E67" s="46" t="s">
        <v>157</v>
      </c>
      <c r="F67" s="47">
        <f>SUM(F57+F62+F65)</f>
        <v>14055.11</v>
      </c>
      <c r="G67" s="60"/>
    </row>
    <row r="68" spans="1:7" ht="15.75">
      <c r="A68" s="67" t="s">
        <v>178</v>
      </c>
      <c r="B68" s="69"/>
      <c r="C68" s="187" t="s">
        <v>177</v>
      </c>
      <c r="D68" s="64" t="s">
        <v>160</v>
      </c>
      <c r="E68" s="270"/>
      <c r="F68" s="258"/>
      <c r="G68" s="60"/>
    </row>
    <row r="69" spans="1:7" ht="15">
      <c r="A69" s="60" t="s">
        <v>23</v>
      </c>
      <c r="B69" s="60"/>
      <c r="C69" s="62"/>
      <c r="D69" s="60"/>
      <c r="E69" s="53"/>
      <c r="F69" s="48"/>
      <c r="G69" s="60"/>
    </row>
    <row r="70" spans="1:7" ht="15">
      <c r="A70" s="60"/>
      <c r="B70" s="60" t="s">
        <v>121</v>
      </c>
      <c r="C70" s="62">
        <v>218</v>
      </c>
      <c r="D70" s="238" t="str">
        <f>VLOOKUP(B70,'[1]Resumen'!$B$7:$D$156,3,0)</f>
        <v>Unidad</v>
      </c>
      <c r="E70" s="270">
        <f>VLOOKUP(B70,'[1]Resumen'!B$7:E$156,4,FALSE)</f>
        <v>112</v>
      </c>
      <c r="F70" s="260">
        <f aca="true" t="shared" si="2" ref="F70:F75">E70*C70</f>
        <v>24416</v>
      </c>
      <c r="G70" s="60"/>
    </row>
    <row r="71" spans="1:7" ht="15">
      <c r="A71" s="60"/>
      <c r="B71" s="60" t="s">
        <v>251</v>
      </c>
      <c r="C71" s="62">
        <v>35</v>
      </c>
      <c r="D71" s="238" t="str">
        <f>VLOOKUP(B71,'[1]Resumen'!$B$7:$D$156,3,0)</f>
        <v>Unidad</v>
      </c>
      <c r="E71" s="270">
        <f>VLOOKUP(B71,'[1]Resumen'!B$7:E$156,4,FALSE)</f>
        <v>187</v>
      </c>
      <c r="F71" s="260">
        <f t="shared" si="2"/>
        <v>6545</v>
      </c>
      <c r="G71" s="60"/>
    </row>
    <row r="72" spans="1:7" ht="15">
      <c r="A72" s="60"/>
      <c r="B72" s="60" t="s">
        <v>252</v>
      </c>
      <c r="C72" s="62">
        <v>95</v>
      </c>
      <c r="D72" s="238" t="str">
        <f>VLOOKUP(B72,'[1]Resumen'!$B$7:$D$156,3,0)</f>
        <v>Unidad</v>
      </c>
      <c r="E72" s="270">
        <f>VLOOKUP(B72,'[1]Resumen'!B$7:E$156,4,FALSE)</f>
        <v>188</v>
      </c>
      <c r="F72" s="260">
        <f t="shared" si="2"/>
        <v>17860</v>
      </c>
      <c r="G72" s="60"/>
    </row>
    <row r="73" spans="1:7" ht="15">
      <c r="A73" s="60"/>
      <c r="B73" s="60" t="s">
        <v>123</v>
      </c>
      <c r="C73" s="62">
        <v>224</v>
      </c>
      <c r="D73" s="238" t="str">
        <f>VLOOKUP(B73,'[1]Resumen'!$B$7:$D$156,3,0)</f>
        <v>Unidad</v>
      </c>
      <c r="E73" s="270">
        <f>VLOOKUP(B73,'[1]Resumen'!B$7:E$156,4,FALSE)</f>
        <v>315</v>
      </c>
      <c r="F73" s="260">
        <f t="shared" si="2"/>
        <v>70560</v>
      </c>
      <c r="G73" s="60"/>
    </row>
    <row r="74" spans="1:7" ht="15">
      <c r="A74" s="60"/>
      <c r="B74" s="60" t="s">
        <v>122</v>
      </c>
      <c r="C74" s="62">
        <v>38</v>
      </c>
      <c r="D74" s="238" t="str">
        <f>VLOOKUP(B74,'[1]Resumen'!$B$7:$D$156,3,0)</f>
        <v>Unidad</v>
      </c>
      <c r="E74" s="270">
        <f>VLOOKUP(B74,'[1]Resumen'!B$7:E$156,4,FALSE)</f>
        <v>209</v>
      </c>
      <c r="F74" s="260">
        <f t="shared" si="2"/>
        <v>7942</v>
      </c>
      <c r="G74" s="60"/>
    </row>
    <row r="75" spans="1:7" ht="15">
      <c r="A75" s="60"/>
      <c r="B75" s="60" t="s">
        <v>176</v>
      </c>
      <c r="C75" s="62">
        <v>210</v>
      </c>
      <c r="D75" s="238" t="str">
        <f>VLOOKUP(B75,'[1]Resumen'!$B$7:$D$156,3,0)</f>
        <v>Unidad</v>
      </c>
      <c r="E75" s="270">
        <f>VLOOKUP(B75,'[1]Resumen'!B$7:E$156,4,FALSE)</f>
        <v>171</v>
      </c>
      <c r="F75" s="260">
        <f t="shared" si="2"/>
        <v>35910</v>
      </c>
      <c r="G75" s="60"/>
    </row>
    <row r="76" spans="1:7" ht="15.75">
      <c r="A76" s="60"/>
      <c r="B76" s="60"/>
      <c r="C76" s="19"/>
      <c r="D76" s="71"/>
      <c r="F76" s="80">
        <f>SUM(F70:F75)</f>
        <v>163233</v>
      </c>
      <c r="G76" s="60" t="s">
        <v>20</v>
      </c>
    </row>
    <row r="77" spans="1:7" ht="15">
      <c r="A77" s="60" t="s">
        <v>46</v>
      </c>
      <c r="B77" s="60"/>
      <c r="C77" s="62"/>
      <c r="D77" s="60"/>
      <c r="E77" s="48" t="s">
        <v>8</v>
      </c>
      <c r="F77" s="48"/>
      <c r="G77" s="60"/>
    </row>
    <row r="78" spans="1:7" ht="15">
      <c r="A78" s="60"/>
      <c r="B78" s="60" t="s">
        <v>102</v>
      </c>
      <c r="C78" s="251">
        <v>9</v>
      </c>
      <c r="D78" s="238" t="str">
        <f>VLOOKUP(B78,'[1]Resumen'!$B$7:$D$156,3,0)</f>
        <v>Unidad</v>
      </c>
      <c r="E78" s="270">
        <f>VLOOKUP(B78,'[1]Resumen'!B$7:E$156,4,FALSE)</f>
        <v>13.09</v>
      </c>
      <c r="F78" s="260">
        <f>E78*C78</f>
        <v>117.81</v>
      </c>
      <c r="G78" s="60"/>
    </row>
    <row r="79" spans="1:7" ht="15">
      <c r="A79" s="60"/>
      <c r="B79" s="68" t="s">
        <v>27</v>
      </c>
      <c r="C79" s="251">
        <v>19</v>
      </c>
      <c r="D79" s="238" t="str">
        <f>VLOOKUP(B79,'[1]Resumen'!$B$7:$D$156,3,0)</f>
        <v>Unidad</v>
      </c>
      <c r="E79" s="270">
        <f>VLOOKUP(B79,'[1]Resumen'!B$7:E$156,4,FALSE)</f>
        <v>107.4</v>
      </c>
      <c r="F79" s="260">
        <f>E79*C79</f>
        <v>2040.6000000000001</v>
      </c>
      <c r="G79" s="60"/>
    </row>
    <row r="80" spans="1:7" ht="15.75">
      <c r="A80" s="60"/>
      <c r="B80" s="60"/>
      <c r="C80" s="71"/>
      <c r="D80" s="71"/>
      <c r="F80" s="80">
        <f>SUM(F78:F79)</f>
        <v>2158.4100000000003</v>
      </c>
      <c r="G80" s="60" t="s">
        <v>22</v>
      </c>
    </row>
    <row r="81" spans="1:7" ht="15.75">
      <c r="A81" s="239"/>
      <c r="B81" s="239"/>
      <c r="C81" s="598" t="s">
        <v>290</v>
      </c>
      <c r="D81" s="598"/>
      <c r="E81" s="598"/>
      <c r="F81" s="265">
        <f>SUM(F76+F80)</f>
        <v>165391.41</v>
      </c>
      <c r="G81" s="60"/>
    </row>
    <row r="82" spans="1:7" ht="15.75">
      <c r="A82" s="67" t="s">
        <v>179</v>
      </c>
      <c r="B82" s="69"/>
      <c r="C82" s="187">
        <v>871</v>
      </c>
      <c r="D82" s="64" t="s">
        <v>160</v>
      </c>
      <c r="E82" s="270"/>
      <c r="F82" s="258"/>
      <c r="G82" s="60"/>
    </row>
    <row r="83" spans="1:7" ht="15">
      <c r="A83" s="60" t="s">
        <v>23</v>
      </c>
      <c r="B83" s="60"/>
      <c r="C83" s="62"/>
      <c r="D83" s="60"/>
      <c r="E83" s="53"/>
      <c r="F83" s="48"/>
      <c r="G83" s="60"/>
    </row>
    <row r="84" spans="1:7" ht="15">
      <c r="A84" s="60"/>
      <c r="B84" s="60" t="s">
        <v>176</v>
      </c>
      <c r="C84" s="62">
        <v>127</v>
      </c>
      <c r="D84" s="238" t="str">
        <f>VLOOKUP(B84,'[1]Resumen'!$B$7:$D$156,3,0)</f>
        <v>Unidad</v>
      </c>
      <c r="E84" s="270">
        <f>VLOOKUP(B84,'[1]Resumen'!B$7:E$156,4,FALSE)</f>
        <v>171</v>
      </c>
      <c r="F84" s="260">
        <f>E84*C84</f>
        <v>21717</v>
      </c>
      <c r="G84" s="60"/>
    </row>
    <row r="85" spans="1:7" ht="15">
      <c r="A85" s="60"/>
      <c r="B85" s="60" t="s">
        <v>121</v>
      </c>
      <c r="C85" s="62">
        <v>26</v>
      </c>
      <c r="D85" s="238" t="str">
        <f>VLOOKUP(B85,'[1]Resumen'!$B$7:$D$156,3,0)</f>
        <v>Unidad</v>
      </c>
      <c r="E85" s="270">
        <f>VLOOKUP(B85,'[1]Resumen'!B$7:E$156,4,FALSE)</f>
        <v>112</v>
      </c>
      <c r="F85" s="260">
        <f>E85*C85</f>
        <v>2912</v>
      </c>
      <c r="G85" s="60"/>
    </row>
    <row r="86" spans="1:7" ht="15.75">
      <c r="A86" s="60"/>
      <c r="B86" s="60"/>
      <c r="C86" s="251"/>
      <c r="D86" s="60"/>
      <c r="E86" s="270"/>
      <c r="F86" s="80">
        <f>SUM(F84:F85)</f>
        <v>24629</v>
      </c>
      <c r="G86" s="60" t="s">
        <v>20</v>
      </c>
    </row>
    <row r="87" spans="1:7" ht="15">
      <c r="A87" s="60" t="s">
        <v>46</v>
      </c>
      <c r="B87" s="60"/>
      <c r="C87" s="62"/>
      <c r="D87" s="60"/>
      <c r="E87" s="48" t="s">
        <v>8</v>
      </c>
      <c r="F87" s="48"/>
      <c r="G87" s="60"/>
    </row>
    <row r="88" spans="1:7" ht="15">
      <c r="A88" s="60"/>
      <c r="B88" s="60" t="s">
        <v>102</v>
      </c>
      <c r="C88" s="251">
        <v>3</v>
      </c>
      <c r="D88" s="238" t="str">
        <f>VLOOKUP(B88,'[1]Resumen'!$B$7:$D$156,3,0)</f>
        <v>Unidad</v>
      </c>
      <c r="E88" s="270">
        <v>10</v>
      </c>
      <c r="F88" s="260">
        <f>E88*C88</f>
        <v>30</v>
      </c>
      <c r="G88" s="60"/>
    </row>
    <row r="89" spans="1:7" ht="15">
      <c r="A89" s="60"/>
      <c r="B89" s="68" t="s">
        <v>27</v>
      </c>
      <c r="C89" s="251">
        <v>4</v>
      </c>
      <c r="D89" s="238" t="str">
        <f>VLOOKUP(B89,'[1]Resumen'!$B$7:$D$156,3,0)</f>
        <v>Unidad</v>
      </c>
      <c r="E89" s="270">
        <f>VLOOKUP(B89,'[1]Resumen'!B$7:E$156,4,FALSE)</f>
        <v>107.4</v>
      </c>
      <c r="F89" s="260">
        <f>E89*C89</f>
        <v>429.6</v>
      </c>
      <c r="G89" s="60"/>
    </row>
    <row r="90" spans="1:7" ht="15.75">
      <c r="A90" s="60"/>
      <c r="B90" s="68"/>
      <c r="C90" s="240"/>
      <c r="D90" s="241"/>
      <c r="E90" s="53"/>
      <c r="F90" s="80">
        <f>SUM(F88:F89)</f>
        <v>459.6</v>
      </c>
      <c r="G90" s="60" t="s">
        <v>22</v>
      </c>
    </row>
    <row r="91" spans="1:7" ht="15.75">
      <c r="A91" s="239"/>
      <c r="B91" s="239"/>
      <c r="C91" s="598" t="s">
        <v>290</v>
      </c>
      <c r="D91" s="598"/>
      <c r="E91" s="598"/>
      <c r="F91" s="265">
        <f>SUM(F86+F90)</f>
        <v>25088.6</v>
      </c>
      <c r="G91" s="71"/>
    </row>
    <row r="92" spans="1:9" ht="15.75">
      <c r="A92" s="67" t="s">
        <v>180</v>
      </c>
      <c r="B92" s="69"/>
      <c r="C92" s="187" t="s">
        <v>181</v>
      </c>
      <c r="D92" s="64" t="s">
        <v>160</v>
      </c>
      <c r="E92" s="270"/>
      <c r="F92" s="258"/>
      <c r="G92" s="60"/>
      <c r="I92" s="181"/>
    </row>
    <row r="93" spans="1:7" ht="15">
      <c r="A93" s="60" t="s">
        <v>23</v>
      </c>
      <c r="B93" s="60"/>
      <c r="C93" s="62"/>
      <c r="D93" s="60"/>
      <c r="E93" s="53"/>
      <c r="F93" s="48"/>
      <c r="G93" s="60"/>
    </row>
    <row r="94" spans="1:7" ht="15">
      <c r="A94" s="60"/>
      <c r="B94" s="60" t="s">
        <v>121</v>
      </c>
      <c r="C94" s="251">
        <v>180</v>
      </c>
      <c r="D94" s="238" t="str">
        <f>VLOOKUP(B94,'[1]Resumen'!$B$7:$D$156,3,0)</f>
        <v>Unidad</v>
      </c>
      <c r="E94" s="270">
        <f>VLOOKUP(B94,'[1]Resumen'!B$7:E$156,4,FALSE)</f>
        <v>112</v>
      </c>
      <c r="F94" s="260">
        <f>E94*C94</f>
        <v>20160</v>
      </c>
      <c r="G94" s="60"/>
    </row>
    <row r="95" spans="1:7" ht="15">
      <c r="A95" s="60"/>
      <c r="B95" s="60" t="s">
        <v>123</v>
      </c>
      <c r="C95" s="251">
        <v>177</v>
      </c>
      <c r="D95" s="238" t="str">
        <f>VLOOKUP(B95,'[1]Resumen'!$B$7:$D$156,3,0)</f>
        <v>Unidad</v>
      </c>
      <c r="E95" s="270">
        <f>VLOOKUP(B95,'[1]Resumen'!B$7:E$156,4,FALSE)</f>
        <v>315</v>
      </c>
      <c r="F95" s="260">
        <f>E95*C95</f>
        <v>55755</v>
      </c>
      <c r="G95" s="60"/>
    </row>
    <row r="96" spans="1:7" ht="15">
      <c r="A96" s="60"/>
      <c r="B96" s="60" t="s">
        <v>122</v>
      </c>
      <c r="C96" s="251">
        <v>526</v>
      </c>
      <c r="D96" s="238" t="str">
        <f>VLOOKUP(B96,'[1]Resumen'!$B$7:$D$156,3,0)</f>
        <v>Unidad</v>
      </c>
      <c r="E96" s="270">
        <f>VLOOKUP(B96,'[1]Resumen'!B$7:E$156,4,FALSE)</f>
        <v>209</v>
      </c>
      <c r="F96" s="260">
        <f>E96*C96</f>
        <v>109934</v>
      </c>
      <c r="G96" s="60"/>
    </row>
    <row r="97" spans="1:7" ht="15">
      <c r="A97" s="60"/>
      <c r="B97" s="60" t="s">
        <v>176</v>
      </c>
      <c r="C97" s="251">
        <v>146</v>
      </c>
      <c r="D97" s="238" t="str">
        <f>VLOOKUP(B97,'[1]Resumen'!$B$7:$D$156,3,0)</f>
        <v>Unidad</v>
      </c>
      <c r="E97" s="270">
        <f>VLOOKUP(B97,'[1]Resumen'!B$7:E$156,4,FALSE)</f>
        <v>171</v>
      </c>
      <c r="F97" s="260">
        <f>E97*C97</f>
        <v>24966</v>
      </c>
      <c r="G97" s="60"/>
    </row>
    <row r="98" spans="1:7" ht="15.75">
      <c r="A98" s="60"/>
      <c r="B98" s="60"/>
      <c r="C98" s="19"/>
      <c r="D98" s="71"/>
      <c r="F98" s="80">
        <f>SUM(F94:F97)</f>
        <v>210815</v>
      </c>
      <c r="G98" s="60" t="s">
        <v>20</v>
      </c>
    </row>
    <row r="99" spans="1:7" ht="15">
      <c r="A99" s="60" t="s">
        <v>46</v>
      </c>
      <c r="B99" s="60"/>
      <c r="C99" s="62"/>
      <c r="D99" s="60"/>
      <c r="E99" s="48" t="s">
        <v>8</v>
      </c>
      <c r="F99" s="48"/>
      <c r="G99" s="60"/>
    </row>
    <row r="100" spans="1:7" ht="15">
      <c r="A100" s="60"/>
      <c r="B100" s="60" t="s">
        <v>102</v>
      </c>
      <c r="C100" s="251">
        <v>8</v>
      </c>
      <c r="D100" s="238" t="str">
        <f>VLOOKUP(B100,'[1]Resumen'!$B$7:$D$156,3,0)</f>
        <v>Unidad</v>
      </c>
      <c r="E100" s="270">
        <f>VLOOKUP(B100,'[1]Resumen'!B$7:E$156,4,FALSE)</f>
        <v>13.09</v>
      </c>
      <c r="F100" s="260">
        <f>E100*C100</f>
        <v>104.72</v>
      </c>
      <c r="G100" s="60"/>
    </row>
    <row r="101" spans="1:7" ht="15">
      <c r="A101" s="60"/>
      <c r="B101" s="60" t="s">
        <v>27</v>
      </c>
      <c r="C101" s="251">
        <v>29</v>
      </c>
      <c r="D101" s="238" t="str">
        <f>VLOOKUP(B101,'[1]Resumen'!$B$7:$D$156,3,0)</f>
        <v>Unidad</v>
      </c>
      <c r="E101" s="270">
        <f>VLOOKUP(B101,'[1]Resumen'!B$7:E$156,4,FALSE)</f>
        <v>107.4</v>
      </c>
      <c r="F101" s="260">
        <f>E101*C101</f>
        <v>3114.6000000000004</v>
      </c>
      <c r="G101" s="60"/>
    </row>
    <row r="102" spans="1:7" ht="15.75">
      <c r="A102" s="60"/>
      <c r="B102" s="60"/>
      <c r="C102" s="71"/>
      <c r="D102" s="71"/>
      <c r="F102" s="80">
        <f>SUM(F100:F101)</f>
        <v>3219.32</v>
      </c>
      <c r="G102" s="60" t="s">
        <v>22</v>
      </c>
    </row>
    <row r="103" spans="1:7" ht="15.75">
      <c r="A103" s="239"/>
      <c r="B103" s="239"/>
      <c r="C103" s="598" t="s">
        <v>290</v>
      </c>
      <c r="D103" s="598"/>
      <c r="E103" s="598"/>
      <c r="F103" s="265">
        <f>SUM(F98+F102)</f>
        <v>214034.32</v>
      </c>
      <c r="G103" s="60"/>
    </row>
    <row r="104" spans="1:7" ht="15.75">
      <c r="A104" s="60"/>
      <c r="B104" s="60"/>
      <c r="C104" s="240"/>
      <c r="D104" s="60"/>
      <c r="E104" s="46"/>
      <c r="F104" s="47"/>
      <c r="G104" s="60"/>
    </row>
    <row r="105" spans="1:7" ht="15.75">
      <c r="A105" s="67" t="s">
        <v>243</v>
      </c>
      <c r="B105" s="69"/>
      <c r="C105" s="187">
        <v>1000</v>
      </c>
      <c r="D105" s="64" t="s">
        <v>160</v>
      </c>
      <c r="E105" s="270"/>
      <c r="F105" s="80"/>
      <c r="G105" s="60"/>
    </row>
    <row r="106" spans="1:7" ht="15">
      <c r="A106" s="60"/>
      <c r="B106" s="68" t="s">
        <v>156</v>
      </c>
      <c r="C106" s="251">
        <v>184</v>
      </c>
      <c r="D106" s="238" t="str">
        <f>VLOOKUP(B106,'[1]Resumen'!$B$7:$D$156,3,0)</f>
        <v>Unidad</v>
      </c>
      <c r="E106" s="270">
        <f>VLOOKUP(B106,'[1]Resumen'!B$7:E$156,4,FALSE)</f>
        <v>492</v>
      </c>
      <c r="F106" s="260">
        <f>E106*C106</f>
        <v>90528</v>
      </c>
      <c r="G106" s="60"/>
    </row>
    <row r="107" spans="1:7" ht="15.75">
      <c r="A107" s="60"/>
      <c r="B107" s="60"/>
      <c r="C107" s="251"/>
      <c r="D107" s="60"/>
      <c r="E107" s="270" t="s">
        <v>12</v>
      </c>
      <c r="F107" s="80">
        <f>SUM(F106:F106)</f>
        <v>90528</v>
      </c>
      <c r="G107" s="60" t="s">
        <v>20</v>
      </c>
    </row>
    <row r="108" spans="1:7" ht="15.75">
      <c r="A108" s="60" t="s">
        <v>46</v>
      </c>
      <c r="B108" s="60"/>
      <c r="C108" s="251"/>
      <c r="D108" s="60"/>
      <c r="E108" s="270"/>
      <c r="F108" s="80"/>
      <c r="G108" s="60"/>
    </row>
    <row r="109" spans="1:7" ht="15">
      <c r="A109" s="60"/>
      <c r="B109" s="68" t="s">
        <v>204</v>
      </c>
      <c r="C109" s="270">
        <v>4</v>
      </c>
      <c r="D109" s="270" t="str">
        <f>VLOOKUP(B109,'[1]Resumen'!$B$7:$D$156,3,0)</f>
        <v>Unidad</v>
      </c>
      <c r="E109" s="270">
        <f>VLOOKUP(B109,'[1]Resumen'!B$7:E$156,4,FALSE)</f>
        <v>46.79</v>
      </c>
      <c r="F109" s="270">
        <f>E109*C109</f>
        <v>187.16</v>
      </c>
      <c r="G109" s="60"/>
    </row>
    <row r="110" spans="1:7" ht="15.75">
      <c r="A110" s="60"/>
      <c r="B110" s="60"/>
      <c r="C110" s="240"/>
      <c r="D110" s="60"/>
      <c r="E110" s="270" t="s">
        <v>12</v>
      </c>
      <c r="F110" s="80">
        <f>SUM(F109:F109)</f>
        <v>187.16</v>
      </c>
      <c r="G110" s="60" t="s">
        <v>22</v>
      </c>
    </row>
    <row r="111" spans="1:7" ht="15.75">
      <c r="A111" s="239"/>
      <c r="B111" s="239"/>
      <c r="C111" s="598" t="s">
        <v>292</v>
      </c>
      <c r="D111" s="598"/>
      <c r="E111" s="598"/>
      <c r="F111" s="263">
        <f>SUM(F107+F110)</f>
        <v>90715.16</v>
      </c>
      <c r="G111" s="60"/>
    </row>
    <row r="112" spans="1:7" ht="15.75">
      <c r="A112" s="67" t="s">
        <v>205</v>
      </c>
      <c r="B112" s="69"/>
      <c r="C112" s="187">
        <v>1000</v>
      </c>
      <c r="D112" s="246" t="s">
        <v>90</v>
      </c>
      <c r="E112" s="299"/>
      <c r="F112" s="76"/>
      <c r="G112" s="60"/>
    </row>
    <row r="113" spans="1:7" ht="15.75">
      <c r="A113" s="68" t="s">
        <v>6</v>
      </c>
      <c r="B113" s="68"/>
      <c r="C113" s="68"/>
      <c r="D113" s="68"/>
      <c r="E113" s="299"/>
      <c r="F113" s="76"/>
      <c r="G113" s="60"/>
    </row>
    <row r="114" spans="1:7" ht="15">
      <c r="A114" s="68"/>
      <c r="B114" s="68" t="s">
        <v>152</v>
      </c>
      <c r="C114" s="251">
        <v>250</v>
      </c>
      <c r="D114" s="238" t="str">
        <f>VLOOKUP(B114,'[1]Resumen'!$B$7:$D$156,3,0)</f>
        <v>bolsas</v>
      </c>
      <c r="E114" s="270">
        <f>VLOOKUP(B114,'[1]Resumen'!B$7:E$156,4,FALSE)</f>
        <v>180</v>
      </c>
      <c r="F114" s="260">
        <f aca="true" t="shared" si="3" ref="F114:F120">E114*C114</f>
        <v>45000</v>
      </c>
      <c r="G114" s="60"/>
    </row>
    <row r="115" spans="1:7" ht="15">
      <c r="A115" s="68"/>
      <c r="B115" s="60" t="s">
        <v>206</v>
      </c>
      <c r="C115" s="251">
        <v>35</v>
      </c>
      <c r="D115" s="238" t="str">
        <f>VLOOKUP(B115,'[1]Resumen'!$B$7:$D$156,3,0)</f>
        <v>m3</v>
      </c>
      <c r="E115" s="270">
        <f>VLOOKUP(B115,'[1]Resumen'!B$7:E$156,4,FALSE)</f>
        <v>400</v>
      </c>
      <c r="F115" s="260">
        <f t="shared" si="3"/>
        <v>14000</v>
      </c>
      <c r="G115" s="60"/>
    </row>
    <row r="116" spans="1:7" ht="15">
      <c r="A116" s="68"/>
      <c r="B116" s="60" t="s">
        <v>211</v>
      </c>
      <c r="C116" s="251">
        <v>3</v>
      </c>
      <c r="D116" s="238" t="str">
        <f>VLOOKUP(B116,'[1]Resumen'!$B$7:$D$156,3,0)</f>
        <v>Unidad</v>
      </c>
      <c r="E116" s="270">
        <f>VLOOKUP(B116,'[1]Resumen'!B$7:E$156,4,FALSE)</f>
        <v>120</v>
      </c>
      <c r="F116" s="260">
        <f t="shared" si="3"/>
        <v>360</v>
      </c>
      <c r="G116" s="60"/>
    </row>
    <row r="117" spans="1:7" ht="15">
      <c r="A117" s="68"/>
      <c r="B117" s="60" t="s">
        <v>212</v>
      </c>
      <c r="C117" s="251">
        <v>30</v>
      </c>
      <c r="D117" s="238" t="str">
        <f>VLOOKUP(B117,'[1]Resumen'!$B$7:$D$156,3,0)</f>
        <v>Yarda</v>
      </c>
      <c r="E117" s="270">
        <f>VLOOKUP(B117,'[1]Resumen'!B$7:E$156,4,FALSE)</f>
        <v>60</v>
      </c>
      <c r="F117" s="260">
        <f t="shared" si="3"/>
        <v>1800</v>
      </c>
      <c r="G117" s="60"/>
    </row>
    <row r="118" spans="1:7" ht="15">
      <c r="A118" s="68"/>
      <c r="B118" s="60" t="s">
        <v>213</v>
      </c>
      <c r="C118" s="251">
        <v>20</v>
      </c>
      <c r="D118" s="238" t="str">
        <f>VLOOKUP(B118,'[1]Resumen'!$B$7:$D$156,3,0)</f>
        <v>Par</v>
      </c>
      <c r="E118" s="270">
        <f>VLOOKUP(B118,'[1]Resumen'!B$7:E$156,4,FALSE)</f>
        <v>60</v>
      </c>
      <c r="F118" s="260">
        <f t="shared" si="3"/>
        <v>1200</v>
      </c>
      <c r="G118" s="60"/>
    </row>
    <row r="119" spans="1:7" ht="15">
      <c r="A119" s="68"/>
      <c r="B119" s="60" t="s">
        <v>214</v>
      </c>
      <c r="C119" s="251">
        <v>12</v>
      </c>
      <c r="D119" s="238" t="str">
        <f>VLOOKUP(B119,'[1]Resumen'!$B$7:$D$156,3,0)</f>
        <v>Unidad</v>
      </c>
      <c r="E119" s="270">
        <f>VLOOKUP(B119,'[1]Resumen'!B$7:E$156,4,FALSE)</f>
        <v>850</v>
      </c>
      <c r="F119" s="260">
        <f t="shared" si="3"/>
        <v>10200</v>
      </c>
      <c r="G119" s="60"/>
    </row>
    <row r="120" spans="1:7" ht="15">
      <c r="A120" s="68"/>
      <c r="B120" s="60" t="s">
        <v>215</v>
      </c>
      <c r="C120" s="251">
        <v>18</v>
      </c>
      <c r="D120" s="238" t="str">
        <f>VLOOKUP(B120,'[1]Resumen'!$B$7:$D$156,3,0)</f>
        <v>Unidad</v>
      </c>
      <c r="E120" s="270">
        <f>VLOOKUP(B120,'[1]Resumen'!B$7:E$156,4,FALSE)</f>
        <v>220</v>
      </c>
      <c r="F120" s="260">
        <f t="shared" si="3"/>
        <v>3960</v>
      </c>
      <c r="G120" s="60"/>
    </row>
    <row r="121" spans="1:7" ht="15.75">
      <c r="A121" s="239"/>
      <c r="B121" s="598" t="s">
        <v>295</v>
      </c>
      <c r="C121" s="598"/>
      <c r="D121" s="598"/>
      <c r="E121" s="598"/>
      <c r="F121" s="302">
        <f>SUM(F114:F120)</f>
        <v>76520</v>
      </c>
      <c r="G121" s="68" t="s">
        <v>13</v>
      </c>
    </row>
    <row r="122" spans="1:7" ht="15.75">
      <c r="A122" s="60"/>
      <c r="B122" s="60"/>
      <c r="C122" s="251"/>
      <c r="D122" s="60"/>
      <c r="E122" s="270"/>
      <c r="F122" s="47"/>
      <c r="G122" s="60"/>
    </row>
    <row r="123" spans="1:7" ht="15.75">
      <c r="A123" s="246" t="s">
        <v>161</v>
      </c>
      <c r="B123" s="68"/>
      <c r="C123" s="187">
        <v>4</v>
      </c>
      <c r="D123" s="246" t="s">
        <v>7</v>
      </c>
      <c r="E123" s="299"/>
      <c r="F123" s="76"/>
      <c r="G123" s="68"/>
    </row>
    <row r="124" spans="1:7" ht="15.75">
      <c r="A124" s="68" t="s">
        <v>6</v>
      </c>
      <c r="B124" s="68"/>
      <c r="C124" s="45"/>
      <c r="D124" s="68"/>
      <c r="E124" s="299"/>
      <c r="F124" s="76"/>
      <c r="G124" s="68"/>
    </row>
    <row r="125" spans="1:7" ht="15">
      <c r="A125" s="68"/>
      <c r="B125" s="68" t="s">
        <v>152</v>
      </c>
      <c r="C125" s="251">
        <v>10</v>
      </c>
      <c r="D125" s="238" t="str">
        <f>VLOOKUP(B125,'[1]Resumen'!$B$7:$D$156,3,0)</f>
        <v>bolsas</v>
      </c>
      <c r="E125" s="270">
        <f>VLOOKUP(B125,'[1]Resumen'!B$7:E$156,4,FALSE)</f>
        <v>180</v>
      </c>
      <c r="F125" s="260">
        <f aca="true" t="shared" si="4" ref="F125:F131">E125*C125</f>
        <v>1800</v>
      </c>
      <c r="G125" s="68"/>
    </row>
    <row r="126" spans="1:7" ht="15">
      <c r="A126" s="68"/>
      <c r="B126" s="68" t="s">
        <v>150</v>
      </c>
      <c r="C126" s="251">
        <v>1</v>
      </c>
      <c r="D126" s="238" t="str">
        <f>VLOOKUP(B126,'[1]Resumen'!$B$7:$D$156,3,0)</f>
        <v>m3</v>
      </c>
      <c r="E126" s="270">
        <f>VLOOKUP(B126,'[1]Resumen'!B$7:E$156,4,FALSE)</f>
        <v>700</v>
      </c>
      <c r="F126" s="260">
        <f t="shared" si="4"/>
        <v>700</v>
      </c>
      <c r="G126" s="68"/>
    </row>
    <row r="127" spans="1:7" ht="15">
      <c r="A127" s="68"/>
      <c r="B127" s="68" t="s">
        <v>149</v>
      </c>
      <c r="C127" s="251">
        <v>200</v>
      </c>
      <c r="D127" s="238" t="str">
        <f>VLOOKUP(B127,'[1]Resumen'!$B$7:$D$156,3,0)</f>
        <v>Unidad</v>
      </c>
      <c r="E127" s="270">
        <f>VLOOKUP(B127,'[1]Resumen'!B$7:E$156,4,FALSE)</f>
        <v>1.6</v>
      </c>
      <c r="F127" s="260">
        <f t="shared" si="4"/>
        <v>320</v>
      </c>
      <c r="G127" s="68"/>
    </row>
    <row r="128" spans="1:7" ht="15">
      <c r="A128" s="68"/>
      <c r="B128" s="60" t="s">
        <v>209</v>
      </c>
      <c r="C128" s="251">
        <v>1</v>
      </c>
      <c r="D128" s="238" t="str">
        <f>VLOOKUP(B128,'[1]Resumen'!$B$7:$D$156,3,0)</f>
        <v>qq</v>
      </c>
      <c r="E128" s="270">
        <f>VLOOKUP(B128,'[1]Resumen'!B$7:E$156,4,FALSE)</f>
        <v>1500</v>
      </c>
      <c r="F128" s="260">
        <f t="shared" si="4"/>
        <v>1500</v>
      </c>
      <c r="G128" s="68"/>
    </row>
    <row r="129" spans="1:7" ht="15">
      <c r="A129" s="68"/>
      <c r="B129" s="60" t="s">
        <v>10</v>
      </c>
      <c r="C129" s="251">
        <v>1</v>
      </c>
      <c r="D129" s="238" t="str">
        <f>VLOOKUP(B129,'[1]Resumen'!$B$7:$D$156,3,0)</f>
        <v>Unidad</v>
      </c>
      <c r="E129" s="270">
        <f>VLOOKUP(B129,'[1]Resumen'!B$7:E$156,4,FALSE)</f>
        <v>950</v>
      </c>
      <c r="F129" s="260">
        <f t="shared" si="4"/>
        <v>950</v>
      </c>
      <c r="G129" s="68"/>
    </row>
    <row r="130" spans="1:7" ht="15">
      <c r="A130" s="68"/>
      <c r="B130" s="68" t="s">
        <v>11</v>
      </c>
      <c r="C130" s="251">
        <v>2</v>
      </c>
      <c r="D130" s="238" t="str">
        <f>VLOOKUP(B130,'[1]Resumen'!$B$7:$D$156,3,0)</f>
        <v>Unidad</v>
      </c>
      <c r="E130" s="270">
        <f>VLOOKUP(B130,'[1]Resumen'!B$7:E$156,4,FALSE)</f>
        <v>95</v>
      </c>
      <c r="F130" s="260">
        <f t="shared" si="4"/>
        <v>190</v>
      </c>
      <c r="G130" s="68"/>
    </row>
    <row r="131" spans="1:7" ht="15">
      <c r="A131" s="68"/>
      <c r="B131" s="68" t="s">
        <v>9</v>
      </c>
      <c r="C131" s="251">
        <v>5</v>
      </c>
      <c r="D131" s="238" t="str">
        <f>VLOOKUP(B131,'[1]Resumen'!$B$7:$D$156,3,0)</f>
        <v>lbs</v>
      </c>
      <c r="E131" s="270">
        <f>VLOOKUP(B131,'[1]Resumen'!B$7:E$156,4,FALSE)</f>
        <v>20</v>
      </c>
      <c r="F131" s="260">
        <f t="shared" si="4"/>
        <v>100</v>
      </c>
      <c r="G131" s="68"/>
    </row>
    <row r="132" spans="1:7" ht="16.5" thickBot="1">
      <c r="A132" s="68"/>
      <c r="B132" s="68"/>
      <c r="C132" s="68"/>
      <c r="D132" s="68"/>
      <c r="E132" s="185" t="s">
        <v>12</v>
      </c>
      <c r="F132" s="310">
        <f>SUM(F125:F131)</f>
        <v>5560</v>
      </c>
      <c r="G132" s="68" t="s">
        <v>13</v>
      </c>
    </row>
    <row r="133" spans="1:7" ht="16.5" thickTop="1">
      <c r="A133" s="239"/>
      <c r="B133" s="598" t="s">
        <v>293</v>
      </c>
      <c r="C133" s="598"/>
      <c r="D133" s="598"/>
      <c r="E133" s="598"/>
      <c r="F133" s="263">
        <f>SUMIF(E123:E132,"Subtotal",F123:F132)</f>
        <v>5560</v>
      </c>
      <c r="G133" s="68"/>
    </row>
    <row r="134" spans="1:8" s="73" customFormat="1" ht="18.75">
      <c r="A134" s="246" t="s">
        <v>294</v>
      </c>
      <c r="B134" s="68"/>
      <c r="C134" s="187">
        <v>1</v>
      </c>
      <c r="D134" s="246" t="s">
        <v>7</v>
      </c>
      <c r="E134" s="45"/>
      <c r="F134" s="45"/>
      <c r="G134" s="68"/>
      <c r="H134" s="78"/>
    </row>
    <row r="135" spans="1:7" ht="15">
      <c r="A135" s="68" t="s">
        <v>28</v>
      </c>
      <c r="B135" s="68"/>
      <c r="C135" s="45"/>
      <c r="D135" s="68"/>
      <c r="E135" s="45"/>
      <c r="F135" s="45"/>
      <c r="G135" s="68"/>
    </row>
    <row r="136" spans="1:7" ht="15">
      <c r="A136" s="68"/>
      <c r="B136" s="68" t="s">
        <v>152</v>
      </c>
      <c r="C136" s="251">
        <v>160</v>
      </c>
      <c r="D136" s="238" t="str">
        <f>VLOOKUP(B136,'[1]Resumen'!$B$7:$D$156,3,0)</f>
        <v>bolsas</v>
      </c>
      <c r="E136" s="270">
        <f>VLOOKUP(B136,'[1]Resumen'!B$7:E$156,4,FALSE)</f>
        <v>180</v>
      </c>
      <c r="F136" s="260">
        <f>E136*C136</f>
        <v>28800</v>
      </c>
      <c r="G136" s="68"/>
    </row>
    <row r="137" spans="1:7" ht="15">
      <c r="A137" s="68"/>
      <c r="B137" s="68" t="s">
        <v>150</v>
      </c>
      <c r="C137" s="251">
        <v>15</v>
      </c>
      <c r="D137" s="238" t="str">
        <f>VLOOKUP(B137,'[1]Resumen'!$B$7:$D$156,3,0)</f>
        <v>m3</v>
      </c>
      <c r="E137" s="270">
        <f>VLOOKUP(B137,'[1]Resumen'!B$7:E$156,4,FALSE)</f>
        <v>700</v>
      </c>
      <c r="F137" s="260">
        <f aca="true" t="shared" si="5" ref="F137:F152">E137*C137</f>
        <v>10500</v>
      </c>
      <c r="G137" s="68"/>
    </row>
    <row r="138" spans="1:7" ht="15">
      <c r="A138" s="68"/>
      <c r="B138" s="68" t="s">
        <v>151</v>
      </c>
      <c r="C138" s="251">
        <v>8</v>
      </c>
      <c r="D138" s="238" t="str">
        <f>VLOOKUP(B138,'[1]Resumen'!$B$7:$D$156,3,0)</f>
        <v>m3</v>
      </c>
      <c r="E138" s="270">
        <f>VLOOKUP(B138,'[1]Resumen'!B$7:E$156,4,FALSE)</f>
        <v>850</v>
      </c>
      <c r="F138" s="260">
        <f t="shared" si="5"/>
        <v>6800</v>
      </c>
      <c r="G138" s="68"/>
    </row>
    <row r="139" spans="1:7" ht="15">
      <c r="A139" s="68"/>
      <c r="B139" s="68" t="s">
        <v>149</v>
      </c>
      <c r="C139" s="251">
        <v>3800</v>
      </c>
      <c r="D139" s="238" t="str">
        <f>VLOOKUP(B139,'[1]Resumen'!$B$7:$D$156,3,0)</f>
        <v>Unidad</v>
      </c>
      <c r="E139" s="270">
        <f>VLOOKUP(B139,'[1]Resumen'!B$7:E$156,4,FALSE)</f>
        <v>1.6</v>
      </c>
      <c r="F139" s="260">
        <f t="shared" si="5"/>
        <v>6080</v>
      </c>
      <c r="G139" s="68"/>
    </row>
    <row r="140" spans="1:7" ht="15">
      <c r="A140" s="68"/>
      <c r="B140" s="60" t="s">
        <v>209</v>
      </c>
      <c r="C140" s="251">
        <v>18</v>
      </c>
      <c r="D140" s="238" t="str">
        <f>VLOOKUP(B140,'[1]Resumen'!$B$7:$D$156,3,0)</f>
        <v>qq</v>
      </c>
      <c r="E140" s="270">
        <f>VLOOKUP(B140,'[1]Resumen'!B$7:E$156,4,FALSE)</f>
        <v>1500</v>
      </c>
      <c r="F140" s="260">
        <f t="shared" si="5"/>
        <v>27000</v>
      </c>
      <c r="G140" s="68"/>
    </row>
    <row r="141" spans="1:7" ht="15">
      <c r="A141" s="68"/>
      <c r="B141" s="60" t="s">
        <v>210</v>
      </c>
      <c r="C141" s="251">
        <v>6</v>
      </c>
      <c r="D141" s="238" t="str">
        <f>VLOOKUP(B141,'[1]Resumen'!$B$7:$D$156,3,0)</f>
        <v>qq</v>
      </c>
      <c r="E141" s="270">
        <f>VLOOKUP(B141,'[1]Resumen'!B$7:E$156,4,FALSE)</f>
        <v>1400</v>
      </c>
      <c r="F141" s="260">
        <f t="shared" si="5"/>
        <v>8400</v>
      </c>
      <c r="G141" s="68"/>
    </row>
    <row r="142" spans="1:7" ht="15">
      <c r="A142" s="68"/>
      <c r="B142" s="68" t="s">
        <v>29</v>
      </c>
      <c r="C142" s="251">
        <v>80</v>
      </c>
      <c r="D142" s="238" t="str">
        <f>VLOOKUP(B142,'[1]Resumen'!$B$7:$D$156,3,0)</f>
        <v>lbs</v>
      </c>
      <c r="E142" s="270">
        <f>VLOOKUP(B142,'[1]Resumen'!B$7:E$156,4,FALSE)</f>
        <v>20</v>
      </c>
      <c r="F142" s="260">
        <f t="shared" si="5"/>
        <v>1600</v>
      </c>
      <c r="G142" s="68"/>
    </row>
    <row r="143" spans="1:7" ht="15">
      <c r="A143" s="68"/>
      <c r="B143" s="68" t="s">
        <v>153</v>
      </c>
      <c r="C143" s="251">
        <v>15</v>
      </c>
      <c r="D143" s="238" t="str">
        <f>VLOOKUP(B143,'[1]Resumen'!$B$7:$D$156,3,0)</f>
        <v>lbs</v>
      </c>
      <c r="E143" s="270">
        <f>VLOOKUP(B143,'[1]Resumen'!B$7:E$156,4,FALSE)</f>
        <v>20</v>
      </c>
      <c r="F143" s="260">
        <f t="shared" si="5"/>
        <v>300</v>
      </c>
      <c r="G143" s="68"/>
    </row>
    <row r="144" spans="1:7" ht="15">
      <c r="A144" s="68"/>
      <c r="B144" s="68" t="s">
        <v>10</v>
      </c>
      <c r="C144" s="251">
        <v>2</v>
      </c>
      <c r="D144" s="238" t="str">
        <f>VLOOKUP(B144,'[1]Resumen'!$B$7:$D$156,3,0)</f>
        <v>Unidad</v>
      </c>
      <c r="E144" s="270">
        <f>VLOOKUP(B144,'[1]Resumen'!B$7:E$156,4,FALSE)</f>
        <v>950</v>
      </c>
      <c r="F144" s="260">
        <f t="shared" si="5"/>
        <v>1900</v>
      </c>
      <c r="G144" s="68"/>
    </row>
    <row r="145" spans="1:7" ht="15">
      <c r="A145" s="68"/>
      <c r="B145" s="68" t="s">
        <v>11</v>
      </c>
      <c r="C145" s="251">
        <v>2</v>
      </c>
      <c r="D145" s="238" t="str">
        <f>VLOOKUP(B145,'[1]Resumen'!$B$7:$D$156,3,0)</f>
        <v>Unidad</v>
      </c>
      <c r="E145" s="270">
        <v>60</v>
      </c>
      <c r="F145" s="260">
        <f t="shared" si="5"/>
        <v>120</v>
      </c>
      <c r="G145" s="68"/>
    </row>
    <row r="146" spans="1:7" ht="15">
      <c r="A146" s="68"/>
      <c r="B146" s="60" t="s">
        <v>208</v>
      </c>
      <c r="C146" s="251">
        <v>1</v>
      </c>
      <c r="D146" s="238" t="str">
        <f>VLOOKUP(B146,'[1]Resumen'!$B$7:$D$156,3,0)</f>
        <v>Cubeta</v>
      </c>
      <c r="E146" s="270">
        <f>VLOOKUP(B146,'[1]Resumen'!B$7:E$156,4,FALSE)</f>
        <v>1080</v>
      </c>
      <c r="F146" s="260">
        <f t="shared" si="5"/>
        <v>1080</v>
      </c>
      <c r="G146" s="68"/>
    </row>
    <row r="147" spans="1:7" ht="15">
      <c r="A147" s="68"/>
      <c r="B147" s="60" t="s">
        <v>262</v>
      </c>
      <c r="C147" s="251">
        <v>3</v>
      </c>
      <c r="D147" s="238" t="s">
        <v>110</v>
      </c>
      <c r="E147" s="270">
        <v>200</v>
      </c>
      <c r="F147" s="260">
        <f t="shared" si="5"/>
        <v>600</v>
      </c>
      <c r="G147" s="68"/>
    </row>
    <row r="148" spans="1:7" ht="15">
      <c r="A148" s="68"/>
      <c r="B148" s="60" t="s">
        <v>142</v>
      </c>
      <c r="C148" s="251">
        <v>50</v>
      </c>
      <c r="D148" s="238" t="str">
        <f>VLOOKUP(B148,'[1]Resumen'!$B$7:$D$156,3,0)</f>
        <v>Yarda</v>
      </c>
      <c r="E148" s="270">
        <f>VLOOKUP(B148,'[1]Resumen'!B$7:E$156,4,FALSE)</f>
        <v>30</v>
      </c>
      <c r="F148" s="260">
        <f>E148*C148</f>
        <v>1500</v>
      </c>
      <c r="G148" s="68"/>
    </row>
    <row r="149" spans="1:7" ht="15">
      <c r="A149" s="68"/>
      <c r="B149" s="60" t="s">
        <v>140</v>
      </c>
      <c r="C149" s="251">
        <v>2</v>
      </c>
      <c r="D149" s="238" t="str">
        <f>VLOOKUP(B149,'[1]Resumen'!$B$7:$D$156,3,0)</f>
        <v>Gln</v>
      </c>
      <c r="E149" s="270">
        <f>VLOOKUP(B149,'[1]Resumen'!B$7:E$156,4,FALSE)</f>
        <v>300</v>
      </c>
      <c r="F149" s="260">
        <f>E149*C149</f>
        <v>600</v>
      </c>
      <c r="G149" s="68"/>
    </row>
    <row r="150" spans="1:7" ht="15">
      <c r="A150" s="68"/>
      <c r="B150" s="60" t="s">
        <v>144</v>
      </c>
      <c r="C150" s="251">
        <v>500</v>
      </c>
      <c r="D150" s="238" t="str">
        <f>VLOOKUP(B150,'[1]Resumen'!$B$7:$D$156,3,0)</f>
        <v>Unidad</v>
      </c>
      <c r="E150" s="270">
        <f>VLOOKUP(B150,'[1]Resumen'!B$7:E$156,4,FALSE)</f>
        <v>7</v>
      </c>
      <c r="F150" s="260">
        <f>E150*C150</f>
        <v>3500</v>
      </c>
      <c r="G150" s="68"/>
    </row>
    <row r="151" spans="1:7" ht="15">
      <c r="A151" s="68"/>
      <c r="B151" s="68" t="s">
        <v>30</v>
      </c>
      <c r="C151" s="251">
        <v>1</v>
      </c>
      <c r="D151" s="238" t="str">
        <f>VLOOKUP(B151,'[1]Resumen'!$B$7:$D$156,3,0)</f>
        <v>Rollo</v>
      </c>
      <c r="E151" s="270">
        <f>VLOOKUP(B151,'[1]Resumen'!B$7:E$156,4,FALSE)</f>
        <v>1200</v>
      </c>
      <c r="F151" s="260">
        <f>E151*C151</f>
        <v>1200</v>
      </c>
      <c r="G151" s="68"/>
    </row>
    <row r="152" spans="1:7" ht="15">
      <c r="A152" s="68"/>
      <c r="B152" s="68" t="s">
        <v>31</v>
      </c>
      <c r="C152" s="251">
        <v>2</v>
      </c>
      <c r="D152" s="238" t="str">
        <f>VLOOKUP(B152,'[1]Resumen'!$B$7:$D$156,3,0)</f>
        <v>lbs</v>
      </c>
      <c r="E152" s="270">
        <f>VLOOKUP(B152,'[1]Resumen'!B$7:E$156,4,FALSE)</f>
        <v>20</v>
      </c>
      <c r="F152" s="260">
        <f t="shared" si="5"/>
        <v>40</v>
      </c>
      <c r="G152" s="68"/>
    </row>
    <row r="153" spans="1:7" ht="15.75">
      <c r="A153" s="68"/>
      <c r="B153" s="68"/>
      <c r="C153" s="251"/>
      <c r="D153" s="238"/>
      <c r="E153" s="270"/>
      <c r="F153" s="271">
        <f>SUM(F136:F152)</f>
        <v>100020</v>
      </c>
      <c r="G153" s="68" t="s">
        <v>13</v>
      </c>
    </row>
    <row r="154" spans="1:7" ht="15">
      <c r="A154" s="68" t="s">
        <v>14</v>
      </c>
      <c r="B154" s="68"/>
      <c r="C154" s="45"/>
      <c r="D154" s="68"/>
      <c r="E154" s="45"/>
      <c r="F154" s="45"/>
      <c r="G154" s="68"/>
    </row>
    <row r="155" spans="1:7" ht="15">
      <c r="A155" s="68"/>
      <c r="B155" s="68" t="s">
        <v>15</v>
      </c>
      <c r="C155" s="251">
        <v>4</v>
      </c>
      <c r="D155" s="238" t="str">
        <f>VLOOKUP(B155,'[1]Resumen'!$B$7:$D$156,3,0)</f>
        <v>docena</v>
      </c>
      <c r="E155" s="270">
        <f>VLOOKUP(B155,'[1]Resumen'!B$7:E$156,4,FALSE)</f>
        <v>2800</v>
      </c>
      <c r="F155" s="260">
        <f>E155*C155</f>
        <v>11200</v>
      </c>
      <c r="G155" s="68"/>
    </row>
    <row r="156" spans="1:7" ht="15">
      <c r="A156" s="68"/>
      <c r="B156" s="68" t="s">
        <v>16</v>
      </c>
      <c r="C156" s="251">
        <v>4</v>
      </c>
      <c r="D156" s="238" t="str">
        <f>VLOOKUP(B156,'[1]Resumen'!$B$7:$D$156,3,0)</f>
        <v>docena</v>
      </c>
      <c r="E156" s="270">
        <f>VLOOKUP(B156,'[1]Resumen'!B$7:E$156,4,FALSE)</f>
        <v>2100</v>
      </c>
      <c r="F156" s="260">
        <f>E156*C156</f>
        <v>8400</v>
      </c>
      <c r="G156" s="68"/>
    </row>
    <row r="157" spans="1:7" ht="15">
      <c r="A157" s="68" t="s">
        <v>8</v>
      </c>
      <c r="B157" s="68" t="s">
        <v>17</v>
      </c>
      <c r="C157" s="251">
        <v>2</v>
      </c>
      <c r="D157" s="238" t="str">
        <f>VLOOKUP(B157,'[1]Resumen'!$B$7:$D$156,3,0)</f>
        <v>docena</v>
      </c>
      <c r="E157" s="270">
        <f>VLOOKUP(B157,'[1]Resumen'!B$7:E$156,4,FALSE)</f>
        <v>1500</v>
      </c>
      <c r="F157" s="260">
        <f>E157*C157</f>
        <v>3000</v>
      </c>
      <c r="G157" s="68"/>
    </row>
    <row r="158" spans="1:7" ht="15.75">
      <c r="A158" s="68"/>
      <c r="B158" s="68"/>
      <c r="C158" s="185"/>
      <c r="D158" s="68"/>
      <c r="E158" s="185" t="s">
        <v>12</v>
      </c>
      <c r="F158" s="80">
        <f>SUM(F155:F157)</f>
        <v>22600</v>
      </c>
      <c r="G158" s="68" t="s">
        <v>18</v>
      </c>
    </row>
    <row r="159" spans="1:7" ht="15.75">
      <c r="A159" s="245"/>
      <c r="B159" s="245"/>
      <c r="C159" s="253"/>
      <c r="D159" s="245"/>
      <c r="E159" s="253" t="s">
        <v>263</v>
      </c>
      <c r="F159" s="263">
        <f>SUM(F153+F158)</f>
        <v>122620</v>
      </c>
      <c r="G159" s="68"/>
    </row>
    <row r="160" spans="1:7" ht="15">
      <c r="A160" s="68" t="s">
        <v>32</v>
      </c>
      <c r="B160" s="68"/>
      <c r="C160" s="45"/>
      <c r="D160" s="68"/>
      <c r="E160" s="45"/>
      <c r="G160" s="68"/>
    </row>
    <row r="161" spans="1:7" ht="15">
      <c r="A161" s="68"/>
      <c r="B161" s="68" t="s">
        <v>107</v>
      </c>
      <c r="C161" s="251">
        <v>0.5</v>
      </c>
      <c r="D161" s="238" t="str">
        <f>VLOOKUP(B161,'[1]Resumen'!$B$7:$D$156,3,0)</f>
        <v>Unidad</v>
      </c>
      <c r="E161" s="270">
        <f>VLOOKUP(B161,'[1]Resumen'!B$7:E$156,4,FALSE)</f>
        <v>800</v>
      </c>
      <c r="F161" s="260">
        <f>E161*C161</f>
        <v>400</v>
      </c>
      <c r="G161" s="68"/>
    </row>
    <row r="162" spans="1:7" ht="15">
      <c r="A162" s="68"/>
      <c r="B162" s="68" t="s">
        <v>112</v>
      </c>
      <c r="C162" s="251">
        <v>5</v>
      </c>
      <c r="D162" s="238" t="str">
        <f>VLOOKUP(B162,'[1]Resumen'!$B$7:$D$156,3,0)</f>
        <v>Unidad</v>
      </c>
      <c r="E162" s="270">
        <f>VLOOKUP(B162,'[1]Resumen'!B$7:E$156,4,FALSE)</f>
        <v>374</v>
      </c>
      <c r="F162" s="260">
        <f>E162*C162</f>
        <v>1870</v>
      </c>
      <c r="G162" s="68"/>
    </row>
    <row r="163" spans="1:7" ht="15.75">
      <c r="A163" s="68"/>
      <c r="B163" s="68"/>
      <c r="C163" s="185"/>
      <c r="D163" s="68"/>
      <c r="E163" s="185" t="s">
        <v>12</v>
      </c>
      <c r="F163" s="80">
        <f>SUM(F161:F162)</f>
        <v>2270</v>
      </c>
      <c r="G163" s="68" t="s">
        <v>20</v>
      </c>
    </row>
    <row r="164" spans="1:7" ht="15">
      <c r="A164" s="68" t="s">
        <v>33</v>
      </c>
      <c r="B164" s="68"/>
      <c r="C164" s="45"/>
      <c r="D164" s="68"/>
      <c r="E164" s="45"/>
      <c r="F164" s="45"/>
      <c r="G164" s="68"/>
    </row>
    <row r="165" spans="1:7" ht="15">
      <c r="A165" s="68"/>
      <c r="B165" s="68" t="s">
        <v>139</v>
      </c>
      <c r="C165" s="251">
        <v>5</v>
      </c>
      <c r="D165" s="238" t="str">
        <f>VLOOKUP(B165,'[1]Resumen'!$B$7:$D$156,3,0)</f>
        <v>Unidad</v>
      </c>
      <c r="E165" s="270">
        <f>VLOOKUP(B165,'[1]Resumen'!B$7:E$156,4,FALSE)</f>
        <v>54.91</v>
      </c>
      <c r="F165" s="260">
        <f>E165*C165</f>
        <v>274.54999999999995</v>
      </c>
      <c r="G165" s="68"/>
    </row>
    <row r="166" spans="1:7" ht="15">
      <c r="A166" s="68"/>
      <c r="B166" s="68" t="s">
        <v>131</v>
      </c>
      <c r="C166" s="251">
        <v>5</v>
      </c>
      <c r="D166" s="238" t="str">
        <f>VLOOKUP(B166,'[1]Resumen'!$B$7:$D$156,3,0)</f>
        <v>Unidad</v>
      </c>
      <c r="E166" s="270">
        <f>VLOOKUP(B166,'[1]Resumen'!B$7:E$156,4,FALSE)</f>
        <v>10</v>
      </c>
      <c r="F166" s="260">
        <f aca="true" t="shared" si="6" ref="F166:F177">E166*C166</f>
        <v>50</v>
      </c>
      <c r="G166" s="68"/>
    </row>
    <row r="167" spans="1:7" ht="15">
      <c r="A167" s="68"/>
      <c r="B167" s="70" t="s">
        <v>103</v>
      </c>
      <c r="C167" s="251">
        <v>1</v>
      </c>
      <c r="D167" s="238" t="str">
        <f>VLOOKUP(B167,'[1]Resumen'!$B$7:$D$156,3,0)</f>
        <v>Unidad</v>
      </c>
      <c r="E167" s="270">
        <f>VLOOKUP(B167,'[1]Resumen'!B$7:E$156,4,FALSE)</f>
        <v>61</v>
      </c>
      <c r="F167" s="260">
        <f t="shared" si="6"/>
        <v>61</v>
      </c>
      <c r="G167" s="68"/>
    </row>
    <row r="168" spans="1:7" ht="15">
      <c r="A168" s="68"/>
      <c r="B168" s="70" t="s">
        <v>41</v>
      </c>
      <c r="C168" s="251">
        <v>1</v>
      </c>
      <c r="D168" s="238" t="str">
        <f>VLOOKUP(B168,'[1]Resumen'!$B$7:$D$156,3,0)</f>
        <v>Unidad</v>
      </c>
      <c r="E168" s="270">
        <v>5</v>
      </c>
      <c r="F168" s="260">
        <f t="shared" si="6"/>
        <v>5</v>
      </c>
      <c r="G168" s="68"/>
    </row>
    <row r="169" spans="1:7" ht="15">
      <c r="A169" s="68"/>
      <c r="B169" s="68" t="s">
        <v>106</v>
      </c>
      <c r="C169" s="251">
        <v>3</v>
      </c>
      <c r="D169" s="238" t="str">
        <f>VLOOKUP(B169,'[1]Resumen'!$B$7:$D$156,3,0)</f>
        <v>Unidad</v>
      </c>
      <c r="E169" s="270">
        <f>VLOOKUP(B169,'[1]Resumen'!B$7:E$156,4,FALSE)</f>
        <v>20.29</v>
      </c>
      <c r="F169" s="260">
        <f t="shared" si="6"/>
        <v>60.87</v>
      </c>
      <c r="G169" s="68"/>
    </row>
    <row r="170" spans="1:7" ht="15">
      <c r="A170" s="68"/>
      <c r="B170" s="70" t="s">
        <v>42</v>
      </c>
      <c r="C170" s="251">
        <v>3</v>
      </c>
      <c r="D170" s="238" t="str">
        <f>VLOOKUP(B170,'[1]Resumen'!$B$7:$D$156,3,0)</f>
        <v>Unidad</v>
      </c>
      <c r="E170" s="270">
        <v>20</v>
      </c>
      <c r="F170" s="260">
        <f t="shared" si="6"/>
        <v>60</v>
      </c>
      <c r="G170" s="68"/>
    </row>
    <row r="171" spans="1:7" ht="15">
      <c r="A171" s="68"/>
      <c r="B171" s="68" t="s">
        <v>116</v>
      </c>
      <c r="C171" s="251">
        <v>1</v>
      </c>
      <c r="D171" s="238" t="str">
        <f>VLOOKUP(B171,'[1]Resumen'!$B$7:$D$156,3,0)</f>
        <v>Unidad</v>
      </c>
      <c r="E171" s="270">
        <f>VLOOKUP(B171,'[1]Resumen'!B$7:E$156,4,FALSE)</f>
        <v>46.17</v>
      </c>
      <c r="F171" s="260">
        <f t="shared" si="6"/>
        <v>46.17</v>
      </c>
      <c r="G171" s="68"/>
    </row>
    <row r="172" spans="1:7" ht="15">
      <c r="A172" s="68"/>
      <c r="B172" s="60" t="s">
        <v>216</v>
      </c>
      <c r="C172" s="251">
        <v>1</v>
      </c>
      <c r="D172" s="238" t="str">
        <f>VLOOKUP(B172,'[1]Resumen'!$B$7:$D$156,3,0)</f>
        <v>Unidad</v>
      </c>
      <c r="E172" s="270">
        <f>VLOOKUP(B172,'[1]Resumen'!B$7:E$156,4,FALSE)</f>
        <v>3500</v>
      </c>
      <c r="F172" s="260">
        <f t="shared" si="6"/>
        <v>3500</v>
      </c>
      <c r="G172" s="68"/>
    </row>
    <row r="173" spans="1:7" ht="15">
      <c r="A173" s="68"/>
      <c r="B173" s="60" t="s">
        <v>217</v>
      </c>
      <c r="C173" s="251">
        <v>1</v>
      </c>
      <c r="D173" s="238" t="str">
        <f>VLOOKUP(B173,'[1]Resumen'!$B$7:$D$156,3,0)</f>
        <v>Unidad</v>
      </c>
      <c r="E173" s="270">
        <f>VLOOKUP(B173,'[1]Resumen'!B$7:E$156,4,FALSE)</f>
        <v>1800</v>
      </c>
      <c r="F173" s="260">
        <f t="shared" si="6"/>
        <v>1800</v>
      </c>
      <c r="G173" s="68"/>
    </row>
    <row r="174" spans="1:7" ht="15">
      <c r="A174" s="68"/>
      <c r="B174" s="68" t="s">
        <v>101</v>
      </c>
      <c r="C174" s="251">
        <v>1</v>
      </c>
      <c r="D174" s="238" t="str">
        <f>VLOOKUP(B174,'[1]Resumen'!$B$7:$D$156,3,0)</f>
        <v>Unidad</v>
      </c>
      <c r="E174" s="270">
        <v>12</v>
      </c>
      <c r="F174" s="260">
        <f t="shared" si="6"/>
        <v>12</v>
      </c>
      <c r="G174" s="68"/>
    </row>
    <row r="175" spans="1:7" ht="15">
      <c r="A175" s="68"/>
      <c r="B175" s="68" t="s">
        <v>117</v>
      </c>
      <c r="C175" s="251">
        <v>1</v>
      </c>
      <c r="D175" s="238" t="str">
        <f>VLOOKUP(B175,'[1]Resumen'!$B$7:$D$156,3,0)</f>
        <v>Unidad</v>
      </c>
      <c r="E175" s="270">
        <v>15</v>
      </c>
      <c r="F175" s="260">
        <f t="shared" si="6"/>
        <v>15</v>
      </c>
      <c r="G175" s="68"/>
    </row>
    <row r="176" spans="1:7" ht="15">
      <c r="A176" s="68"/>
      <c r="B176" s="68" t="s">
        <v>87</v>
      </c>
      <c r="C176" s="251">
        <v>1</v>
      </c>
      <c r="D176" s="238" t="str">
        <f>VLOOKUP(B176,'[1]Resumen'!$B$7:$D$156,3,0)</f>
        <v>Unidad</v>
      </c>
      <c r="E176" s="270">
        <f>VLOOKUP(B176,'[1]Resumen'!B$7:E$156,4,FALSE)</f>
        <v>21</v>
      </c>
      <c r="F176" s="260">
        <f t="shared" si="6"/>
        <v>21</v>
      </c>
      <c r="G176" s="68"/>
    </row>
    <row r="177" spans="1:7" ht="15">
      <c r="A177" s="68"/>
      <c r="B177" s="68" t="s">
        <v>100</v>
      </c>
      <c r="C177" s="251">
        <v>10</v>
      </c>
      <c r="D177" s="238" t="str">
        <f>VLOOKUP(B177,'[1]Resumen'!$B$7:$D$156,3,0)</f>
        <v>Rollo</v>
      </c>
      <c r="E177" s="270">
        <f>VLOOKUP(B177,'[1]Resumen'!B$7:E$156,4,FALSE)</f>
        <v>6</v>
      </c>
      <c r="F177" s="260">
        <f t="shared" si="6"/>
        <v>60</v>
      </c>
      <c r="G177" s="68"/>
    </row>
    <row r="178" spans="1:7" ht="15.75">
      <c r="A178" s="68"/>
      <c r="B178" s="68"/>
      <c r="C178" s="184"/>
      <c r="D178" s="68"/>
      <c r="E178" s="185" t="s">
        <v>12</v>
      </c>
      <c r="F178" s="80">
        <f>SUM(F165:F177)</f>
        <v>5965.59</v>
      </c>
      <c r="G178" s="68" t="s">
        <v>22</v>
      </c>
    </row>
    <row r="179" spans="1:7" ht="15.75">
      <c r="A179" s="239"/>
      <c r="B179" s="239"/>
      <c r="C179" s="598" t="s">
        <v>292</v>
      </c>
      <c r="D179" s="598"/>
      <c r="E179" s="598"/>
      <c r="F179" s="263">
        <f>SUM(F163+F178)</f>
        <v>8235.59</v>
      </c>
      <c r="G179" s="68"/>
    </row>
    <row r="180" spans="1:7" ht="15.75">
      <c r="A180" s="246" t="s">
        <v>249</v>
      </c>
      <c r="B180" s="68"/>
      <c r="C180" s="55">
        <v>22506</v>
      </c>
      <c r="D180" s="64" t="s">
        <v>256</v>
      </c>
      <c r="E180" s="48"/>
      <c r="F180" s="48"/>
      <c r="G180" s="60"/>
    </row>
    <row r="181" spans="1:7" ht="15">
      <c r="A181" s="60" t="s">
        <v>20</v>
      </c>
      <c r="B181" s="60"/>
      <c r="C181" s="48"/>
      <c r="D181" s="60"/>
      <c r="E181" s="48"/>
      <c r="F181" s="48"/>
      <c r="G181" s="60"/>
    </row>
    <row r="182" spans="1:7" ht="15">
      <c r="A182" s="60"/>
      <c r="B182" s="60" t="s">
        <v>207</v>
      </c>
      <c r="C182" s="251">
        <v>58</v>
      </c>
      <c r="D182" s="238" t="str">
        <f>VLOOKUP(B182,'[1]Resumen'!$B$7:$D$156,3,0)</f>
        <v>Unidad</v>
      </c>
      <c r="E182" s="270">
        <f>VLOOKUP(B182,'[1]Resumen'!B$7:E$156,4,FALSE)</f>
        <v>615</v>
      </c>
      <c r="F182" s="260">
        <f aca="true" t="shared" si="7" ref="F182:F194">E182*C182</f>
        <v>35670</v>
      </c>
      <c r="G182" s="60"/>
    </row>
    <row r="183" spans="1:7" ht="15">
      <c r="A183" s="60"/>
      <c r="B183" s="60" t="s">
        <v>112</v>
      </c>
      <c r="C183" s="251">
        <v>31</v>
      </c>
      <c r="D183" s="238" t="str">
        <f>VLOOKUP(B183,'[1]Resumen'!$B$7:$D$156,3,0)</f>
        <v>Unidad</v>
      </c>
      <c r="E183" s="270">
        <f>VLOOKUP(B183,'[1]Resumen'!B$7:E$156,4,FALSE)</f>
        <v>374</v>
      </c>
      <c r="F183" s="260">
        <f t="shared" si="7"/>
        <v>11594</v>
      </c>
      <c r="G183" s="60"/>
    </row>
    <row r="184" spans="1:7" ht="15">
      <c r="A184" s="60"/>
      <c r="B184" s="60" t="s">
        <v>175</v>
      </c>
      <c r="C184" s="251">
        <v>194</v>
      </c>
      <c r="D184" s="238" t="str">
        <f>VLOOKUP(B184,'[1]Resumen'!$B$7:$D$156,3,0)</f>
        <v>Unidad</v>
      </c>
      <c r="E184" s="270">
        <f>VLOOKUP(B184,'[1]Resumen'!B$7:E$156,4,FALSE)</f>
        <v>251</v>
      </c>
      <c r="F184" s="260">
        <f t="shared" si="7"/>
        <v>48694</v>
      </c>
      <c r="G184" s="60"/>
    </row>
    <row r="185" spans="1:7" ht="15">
      <c r="A185" s="60"/>
      <c r="B185" s="60" t="s">
        <v>137</v>
      </c>
      <c r="C185" s="251">
        <v>446</v>
      </c>
      <c r="D185" s="238" t="str">
        <f>VLOOKUP(B185,'[1]Resumen'!$B$7:$D$156,3,0)</f>
        <v>Unidad</v>
      </c>
      <c r="E185" s="270">
        <f>VLOOKUP(B185,'[1]Resumen'!B$7:E$156,4,FALSE)</f>
        <v>306</v>
      </c>
      <c r="F185" s="260">
        <f t="shared" si="7"/>
        <v>136476</v>
      </c>
      <c r="G185" s="60"/>
    </row>
    <row r="186" spans="1:7" ht="15">
      <c r="A186" s="60"/>
      <c r="B186" s="60" t="s">
        <v>174</v>
      </c>
      <c r="C186" s="251">
        <v>43</v>
      </c>
      <c r="D186" s="238" t="str">
        <f>VLOOKUP(B186,'[1]Resumen'!$B$7:$D$156,3,0)</f>
        <v>Unidad</v>
      </c>
      <c r="E186" s="270">
        <f>VLOOKUP(B186,'[1]Resumen'!B$7:E$156,4,FALSE)</f>
        <v>458.88</v>
      </c>
      <c r="F186" s="260">
        <f t="shared" si="7"/>
        <v>19731.84</v>
      </c>
      <c r="G186" s="60"/>
    </row>
    <row r="187" spans="1:7" ht="15">
      <c r="A187" s="60"/>
      <c r="B187" s="60" t="s">
        <v>176</v>
      </c>
      <c r="C187" s="251">
        <v>73</v>
      </c>
      <c r="D187" s="238" t="str">
        <f>VLOOKUP(B187,'[1]Resumen'!$B$7:$D$156,3,0)</f>
        <v>Unidad</v>
      </c>
      <c r="E187" s="270">
        <f>VLOOKUP(B187,'[1]Resumen'!B$7:E$156,4,FALSE)</f>
        <v>171</v>
      </c>
      <c r="F187" s="260">
        <f t="shared" si="7"/>
        <v>12483</v>
      </c>
      <c r="G187" s="60"/>
    </row>
    <row r="188" spans="1:7" ht="15">
      <c r="A188" s="60"/>
      <c r="B188" s="60" t="s">
        <v>122</v>
      </c>
      <c r="C188" s="251">
        <v>92</v>
      </c>
      <c r="D188" s="238" t="str">
        <f>VLOOKUP(B188,'[1]Resumen'!$B$7:$D$156,3,0)</f>
        <v>Unidad</v>
      </c>
      <c r="E188" s="270">
        <f>VLOOKUP(B188,'[1]Resumen'!B$7:E$156,4,FALSE)</f>
        <v>209</v>
      </c>
      <c r="F188" s="260">
        <f t="shared" si="7"/>
        <v>19228</v>
      </c>
      <c r="G188" s="60"/>
    </row>
    <row r="189" spans="1:7" ht="15">
      <c r="A189" s="60"/>
      <c r="B189" s="60" t="s">
        <v>123</v>
      </c>
      <c r="C189" s="251">
        <v>64</v>
      </c>
      <c r="D189" s="238" t="str">
        <f>VLOOKUP(B189,'[1]Resumen'!$B$7:$D$156,3,0)</f>
        <v>Unidad</v>
      </c>
      <c r="E189" s="270">
        <f>VLOOKUP(B189,'[1]Resumen'!B$7:E$156,4,FALSE)</f>
        <v>315</v>
      </c>
      <c r="F189" s="260">
        <f t="shared" si="7"/>
        <v>20160</v>
      </c>
      <c r="G189" s="60"/>
    </row>
    <row r="190" spans="1:7" ht="15">
      <c r="A190" s="60"/>
      <c r="B190" s="60" t="s">
        <v>121</v>
      </c>
      <c r="C190" s="251">
        <v>395</v>
      </c>
      <c r="D190" s="238" t="str">
        <f>VLOOKUP(B190,'[1]Resumen'!$B$7:$D$156,3,0)</f>
        <v>Unidad</v>
      </c>
      <c r="E190" s="270">
        <f>VLOOKUP(B190,'[1]Resumen'!B$7:E$156,4,FALSE)</f>
        <v>112</v>
      </c>
      <c r="F190" s="260">
        <f t="shared" si="7"/>
        <v>44240</v>
      </c>
      <c r="G190" s="60"/>
    </row>
    <row r="191" spans="1:7" ht="15">
      <c r="A191" s="60"/>
      <c r="B191" s="60" t="s">
        <v>120</v>
      </c>
      <c r="C191" s="251">
        <v>211</v>
      </c>
      <c r="D191" s="238" t="str">
        <f>VLOOKUP(B191,'[1]Resumen'!$B$7:$D$156,3,0)</f>
        <v>Unidad</v>
      </c>
      <c r="E191" s="270">
        <f>VLOOKUP(B191,'[1]Resumen'!B$7:E$156,4,FALSE)</f>
        <v>102.89</v>
      </c>
      <c r="F191" s="260">
        <f t="shared" si="7"/>
        <v>21709.79</v>
      </c>
      <c r="G191" s="60"/>
    </row>
    <row r="192" spans="1:7" ht="15">
      <c r="A192" s="60"/>
      <c r="B192" s="60" t="s">
        <v>34</v>
      </c>
      <c r="C192" s="251">
        <v>580</v>
      </c>
      <c r="D192" s="238" t="str">
        <f>VLOOKUP(B192,'[1]Resumen'!$B$7:$D$156,3,0)</f>
        <v>Unidad</v>
      </c>
      <c r="E192" s="270">
        <f>VLOOKUP(B192,'[1]Resumen'!B$7:E$156,4,FALSE)</f>
        <v>75.38</v>
      </c>
      <c r="F192" s="260">
        <f t="shared" si="7"/>
        <v>43720.399999999994</v>
      </c>
      <c r="G192" s="60"/>
    </row>
    <row r="193" spans="1:7" ht="15">
      <c r="A193" s="60"/>
      <c r="B193" s="60" t="s">
        <v>35</v>
      </c>
      <c r="C193" s="251">
        <v>361</v>
      </c>
      <c r="D193" s="238" t="str">
        <f>VLOOKUP(B193,'[1]Resumen'!$B$7:$D$156,3,0)</f>
        <v>Unidad</v>
      </c>
      <c r="E193" s="270">
        <f>VLOOKUP(B193,'[1]Resumen'!B$7:E$156,4,FALSE)</f>
        <v>61.62</v>
      </c>
      <c r="F193" s="260">
        <f t="shared" si="7"/>
        <v>22244.82</v>
      </c>
      <c r="G193" s="60"/>
    </row>
    <row r="194" spans="1:7" ht="15">
      <c r="A194" s="60"/>
      <c r="B194" s="60" t="s">
        <v>36</v>
      </c>
      <c r="C194" s="251">
        <v>1863</v>
      </c>
      <c r="D194" s="238" t="str">
        <f>VLOOKUP(B194,'[1]Resumen'!$B$7:$D$156,3,0)</f>
        <v>Unidad</v>
      </c>
      <c r="E194" s="270">
        <f>VLOOKUP(B194,'[1]Resumen'!B$7:E$156,4,FALSE)</f>
        <v>47.86</v>
      </c>
      <c r="F194" s="260">
        <f t="shared" si="7"/>
        <v>89163.18</v>
      </c>
      <c r="G194" s="60"/>
    </row>
    <row r="195" spans="1:7" ht="15.75">
      <c r="A195" s="60"/>
      <c r="B195" s="60"/>
      <c r="C195" s="251"/>
      <c r="D195" s="60"/>
      <c r="E195" s="270" t="s">
        <v>12</v>
      </c>
      <c r="F195" s="273">
        <f>SUM(F182:F194)</f>
        <v>525115.0299999999</v>
      </c>
      <c r="G195" s="60" t="s">
        <v>20</v>
      </c>
    </row>
    <row r="196" spans="1:7" ht="15">
      <c r="A196" s="60" t="s">
        <v>22</v>
      </c>
      <c r="B196" s="60"/>
      <c r="C196" s="45"/>
      <c r="D196" s="60"/>
      <c r="E196" s="48"/>
      <c r="F196" s="48"/>
      <c r="G196" s="60"/>
    </row>
    <row r="197" spans="1:7" ht="15">
      <c r="A197" s="60"/>
      <c r="B197" s="60" t="s">
        <v>246</v>
      </c>
      <c r="C197" s="251">
        <v>2</v>
      </c>
      <c r="D197" s="238" t="str">
        <f>VLOOKUP(B197,'[1]Resumen'!$B$7:$D$156,3,0)</f>
        <v>Unidad</v>
      </c>
      <c r="E197" s="270">
        <f>VLOOKUP(B197,'[1]Resumen'!B$7:E$156,4,FALSE)</f>
        <v>61</v>
      </c>
      <c r="F197" s="260">
        <f aca="true" t="shared" si="8" ref="F197:F222">E197*C197</f>
        <v>122</v>
      </c>
      <c r="G197" s="60"/>
    </row>
    <row r="198" spans="1:7" ht="15">
      <c r="A198" s="60"/>
      <c r="B198" s="60" t="s">
        <v>247</v>
      </c>
      <c r="C198" s="251">
        <v>2</v>
      </c>
      <c r="D198" s="238" t="str">
        <f>VLOOKUP(B198,'[1]Resumen'!$B$7:$D$156,3,0)</f>
        <v>Unidad</v>
      </c>
      <c r="E198" s="270">
        <f>VLOOKUP(B198,'[1]Resumen'!B$7:E$156,4,FALSE)</f>
        <v>61</v>
      </c>
      <c r="F198" s="260">
        <f>E198*C198</f>
        <v>122</v>
      </c>
      <c r="G198" s="60"/>
    </row>
    <row r="199" spans="1:7" ht="15">
      <c r="A199" s="60"/>
      <c r="B199" s="60" t="s">
        <v>248</v>
      </c>
      <c r="C199" s="251">
        <v>9</v>
      </c>
      <c r="D199" s="238" t="str">
        <f>VLOOKUP(B199,'[1]Resumen'!$B$7:$D$156,3,0)</f>
        <v>Unidad</v>
      </c>
      <c r="E199" s="270">
        <f>VLOOKUP(B199,'[1]Resumen'!B$7:E$156,4,FALSE)</f>
        <v>32</v>
      </c>
      <c r="F199" s="260">
        <f>E199*C199</f>
        <v>288</v>
      </c>
      <c r="G199" s="60"/>
    </row>
    <row r="200" spans="1:7" ht="15">
      <c r="A200" s="60"/>
      <c r="B200" s="60" t="s">
        <v>117</v>
      </c>
      <c r="C200" s="251">
        <v>72</v>
      </c>
      <c r="D200" s="238" t="str">
        <f>VLOOKUP(B200,'[1]Resumen'!$B$7:$D$156,3,0)</f>
        <v>Unidad</v>
      </c>
      <c r="E200" s="270">
        <f>VLOOKUP(B200,'[1]Resumen'!B$7:E$156,4,FALSE)</f>
        <v>11.02</v>
      </c>
      <c r="F200" s="260">
        <f>E200*C200</f>
        <v>793.4399999999999</v>
      </c>
      <c r="G200" s="60"/>
    </row>
    <row r="201" spans="1:7" ht="15">
      <c r="A201" s="60"/>
      <c r="B201" s="60" t="s">
        <v>101</v>
      </c>
      <c r="C201" s="251">
        <v>54</v>
      </c>
      <c r="D201" s="238" t="str">
        <f>VLOOKUP(B201,'[1]Resumen'!$B$7:$D$156,3,0)</f>
        <v>Unidad</v>
      </c>
      <c r="E201" s="270">
        <f>VLOOKUP(B201,'[1]Resumen'!B$7:E$156,4,FALSE)</f>
        <v>15.48</v>
      </c>
      <c r="F201" s="260">
        <f t="shared" si="8"/>
        <v>835.9200000000001</v>
      </c>
      <c r="G201" s="60"/>
    </row>
    <row r="202" spans="1:7" ht="15">
      <c r="A202" s="60"/>
      <c r="B202" s="60" t="s">
        <v>102</v>
      </c>
      <c r="C202" s="251">
        <v>4</v>
      </c>
      <c r="D202" s="238" t="str">
        <f>VLOOKUP(B202,'[1]Resumen'!$B$7:$D$156,3,0)</f>
        <v>Unidad</v>
      </c>
      <c r="E202" s="270">
        <f>VLOOKUP(B202,'[1]Resumen'!B$7:E$156,4,FALSE)</f>
        <v>13.09</v>
      </c>
      <c r="F202" s="260">
        <f t="shared" si="8"/>
        <v>52.36</v>
      </c>
      <c r="G202" s="60"/>
    </row>
    <row r="203" spans="1:7" ht="15">
      <c r="A203" s="60"/>
      <c r="B203" s="247" t="s">
        <v>126</v>
      </c>
      <c r="C203" s="251">
        <v>1</v>
      </c>
      <c r="D203" s="238" t="str">
        <f>VLOOKUP(B203,'[1]Resumen'!$B$7:$D$156,3,0)</f>
        <v>Unidad</v>
      </c>
      <c r="E203" s="270">
        <f>VLOOKUP(B203,'[1]Resumen'!B$7:E$156,4,FALSE)</f>
        <v>11.8</v>
      </c>
      <c r="F203" s="260">
        <f t="shared" si="8"/>
        <v>11.8</v>
      </c>
      <c r="G203" s="60"/>
    </row>
    <row r="204" spans="1:7" ht="15">
      <c r="A204" s="60"/>
      <c r="B204" s="247" t="s">
        <v>127</v>
      </c>
      <c r="C204" s="251">
        <v>2</v>
      </c>
      <c r="D204" s="238" t="str">
        <f>VLOOKUP(B204,'[1]Resumen'!$B$7:$D$156,3,0)</f>
        <v>Unidad</v>
      </c>
      <c r="E204" s="270">
        <f>VLOOKUP(B204,'[1]Resumen'!B$7:E$156,4,FALSE)</f>
        <v>12</v>
      </c>
      <c r="F204" s="260">
        <f t="shared" si="8"/>
        <v>24</v>
      </c>
      <c r="G204" s="60"/>
    </row>
    <row r="205" spans="1:7" ht="15">
      <c r="A205" s="60"/>
      <c r="B205" s="70" t="s">
        <v>83</v>
      </c>
      <c r="C205" s="251">
        <v>1</v>
      </c>
      <c r="D205" s="238" t="str">
        <f>VLOOKUP(B205,'[1]Resumen'!$B$7:$D$156,3,0)</f>
        <v>Unidad</v>
      </c>
      <c r="E205" s="270">
        <f>VLOOKUP(B205,'[1]Resumen'!B$7:E$156,4,FALSE)</f>
        <v>8</v>
      </c>
      <c r="F205" s="260">
        <f t="shared" si="8"/>
        <v>8</v>
      </c>
      <c r="G205" s="68"/>
    </row>
    <row r="206" spans="1:7" ht="15">
      <c r="A206" s="60"/>
      <c r="B206" s="247" t="s">
        <v>84</v>
      </c>
      <c r="C206" s="251">
        <v>2</v>
      </c>
      <c r="D206" s="238" t="str">
        <f>VLOOKUP(B206,'[1]Resumen'!$B$7:$D$156,3,0)</f>
        <v>Unidad</v>
      </c>
      <c r="E206" s="270">
        <f>VLOOKUP(B206,'[1]Resumen'!B$7:E$156,4,FALSE)</f>
        <v>8</v>
      </c>
      <c r="F206" s="260">
        <f t="shared" si="8"/>
        <v>16</v>
      </c>
      <c r="G206" s="68"/>
    </row>
    <row r="207" spans="1:7" ht="15">
      <c r="A207" s="60"/>
      <c r="B207" s="247" t="s">
        <v>85</v>
      </c>
      <c r="C207" s="251">
        <v>1</v>
      </c>
      <c r="D207" s="238" t="str">
        <f>VLOOKUP(B207,'[1]Resumen'!$B$7:$D$156,3,0)</f>
        <v>Unidad</v>
      </c>
      <c r="E207" s="270">
        <f>VLOOKUP(B207,'[1]Resumen'!B$7:E$156,4,FALSE)</f>
        <v>6.96</v>
      </c>
      <c r="F207" s="260">
        <f t="shared" si="8"/>
        <v>6.96</v>
      </c>
      <c r="G207" s="68"/>
    </row>
    <row r="208" spans="1:7" ht="15">
      <c r="A208" s="60"/>
      <c r="B208" s="247" t="s">
        <v>25</v>
      </c>
      <c r="C208" s="251">
        <v>40</v>
      </c>
      <c r="D208" s="238" t="str">
        <f>VLOOKUP(B208,'[1]Resumen'!$B$7:$D$156,3,0)</f>
        <v>Unidad</v>
      </c>
      <c r="E208" s="270">
        <f>VLOOKUP(B208,'[1]Resumen'!B$7:E$156,4,FALSE)</f>
        <v>7</v>
      </c>
      <c r="F208" s="260">
        <f t="shared" si="8"/>
        <v>280</v>
      </c>
      <c r="G208" s="68"/>
    </row>
    <row r="209" spans="1:7" ht="15">
      <c r="A209" s="60"/>
      <c r="B209" s="70" t="s">
        <v>98</v>
      </c>
      <c r="C209" s="251">
        <v>1</v>
      </c>
      <c r="D209" s="238" t="str">
        <f>VLOOKUP(B209,'[1]Resumen'!$B$7:$D$156,3,0)</f>
        <v>Unidad</v>
      </c>
      <c r="E209" s="270">
        <f>VLOOKUP(B209,'[1]Resumen'!B$7:E$156,4,FALSE)</f>
        <v>5.82</v>
      </c>
      <c r="F209" s="260">
        <f t="shared" si="8"/>
        <v>5.82</v>
      </c>
      <c r="G209" s="68"/>
    </row>
    <row r="210" spans="1:7" ht="15">
      <c r="A210" s="60"/>
      <c r="B210" s="70" t="s">
        <v>97</v>
      </c>
      <c r="C210" s="251">
        <v>5</v>
      </c>
      <c r="D210" s="238" t="str">
        <f>VLOOKUP(B210,'[1]Resumen'!$B$7:$D$156,3,0)</f>
        <v>Unidad</v>
      </c>
      <c r="E210" s="270">
        <f>VLOOKUP(B210,'[1]Resumen'!B$7:E$156,4,FALSE)</f>
        <v>5</v>
      </c>
      <c r="F210" s="260">
        <f t="shared" si="8"/>
        <v>25</v>
      </c>
      <c r="G210" s="68"/>
    </row>
    <row r="211" spans="1:7" ht="15">
      <c r="A211" s="60"/>
      <c r="B211" s="247" t="s">
        <v>118</v>
      </c>
      <c r="C211" s="251">
        <v>14</v>
      </c>
      <c r="D211" s="238" t="str">
        <f>VLOOKUP(B211,'[1]Resumen'!$B$7:$D$156,3,0)</f>
        <v>Unidad</v>
      </c>
      <c r="E211" s="270">
        <f>VLOOKUP(B211,'[1]Resumen'!B$7:E$156,4,FALSE)</f>
        <v>3.86</v>
      </c>
      <c r="F211" s="260">
        <f t="shared" si="8"/>
        <v>54.04</v>
      </c>
      <c r="G211" s="68"/>
    </row>
    <row r="212" spans="1:7" ht="15">
      <c r="A212" s="60"/>
      <c r="B212" s="70" t="s">
        <v>37</v>
      </c>
      <c r="C212" s="251">
        <v>4</v>
      </c>
      <c r="D212" s="238" t="str">
        <f>VLOOKUP(B212,'[1]Resumen'!$B$7:$D$156,3,0)</f>
        <v>Unidad</v>
      </c>
      <c r="E212" s="270">
        <f>VLOOKUP(B212,'[1]Resumen'!B$7:E$156,4,FALSE)</f>
        <v>3.86</v>
      </c>
      <c r="F212" s="260">
        <f t="shared" si="8"/>
        <v>15.44</v>
      </c>
      <c r="G212" s="68"/>
    </row>
    <row r="213" spans="1:7" ht="15">
      <c r="A213" s="60"/>
      <c r="B213" s="68" t="s">
        <v>88</v>
      </c>
      <c r="C213" s="251">
        <v>20</v>
      </c>
      <c r="D213" s="238" t="str">
        <f>VLOOKUP(B213,'[1]Resumen'!$B$7:$D$156,3,0)</f>
        <v>Unidad</v>
      </c>
      <c r="E213" s="270">
        <f>VLOOKUP(B213,'[1]Resumen'!B$7:E$156,4,FALSE)</f>
        <v>2.63</v>
      </c>
      <c r="F213" s="260">
        <f t="shared" si="8"/>
        <v>52.599999999999994</v>
      </c>
      <c r="G213" s="68"/>
    </row>
    <row r="214" spans="1:7" ht="15">
      <c r="A214" s="60"/>
      <c r="B214" s="247" t="s">
        <v>245</v>
      </c>
      <c r="C214" s="251">
        <v>1</v>
      </c>
      <c r="D214" s="238" t="str">
        <f>VLOOKUP(B214,'[1]Resumen'!$B$7:$D$156,3,0)</f>
        <v>Unidad</v>
      </c>
      <c r="E214" s="270">
        <f>VLOOKUP(B214,'[1]Resumen'!B$7:E$156,4,FALSE)</f>
        <v>167.54</v>
      </c>
      <c r="F214" s="260">
        <f t="shared" si="8"/>
        <v>167.54</v>
      </c>
      <c r="G214" s="68"/>
    </row>
    <row r="215" spans="1:7" ht="15">
      <c r="A215" s="60"/>
      <c r="B215" s="247" t="s">
        <v>244</v>
      </c>
      <c r="C215" s="251">
        <v>7</v>
      </c>
      <c r="D215" s="238" t="str">
        <f>VLOOKUP(B215,'[1]Resumen'!$B$7:$D$156,3,0)</f>
        <v>Unidad</v>
      </c>
      <c r="E215" s="270">
        <f>VLOOKUP(B215,'[1]Resumen'!B$7:E$156,4,FALSE)</f>
        <v>89.98</v>
      </c>
      <c r="F215" s="260">
        <f t="shared" si="8"/>
        <v>629.86</v>
      </c>
      <c r="G215" s="68"/>
    </row>
    <row r="216" spans="1:7" ht="15">
      <c r="A216" s="60"/>
      <c r="B216" s="247" t="s">
        <v>103</v>
      </c>
      <c r="C216" s="251">
        <v>51</v>
      </c>
      <c r="D216" s="238" t="str">
        <f>VLOOKUP(B216,'[1]Resumen'!$B$7:$D$156,3,0)</f>
        <v>Unidad</v>
      </c>
      <c r="E216" s="270">
        <f>VLOOKUP(B216,'[1]Resumen'!B$7:E$156,4,FALSE)</f>
        <v>61</v>
      </c>
      <c r="F216" s="260">
        <f t="shared" si="8"/>
        <v>3111</v>
      </c>
      <c r="G216" s="68"/>
    </row>
    <row r="217" spans="1:7" ht="15">
      <c r="A217" s="60"/>
      <c r="B217" s="247" t="s">
        <v>104</v>
      </c>
      <c r="C217" s="251">
        <v>16</v>
      </c>
      <c r="D217" s="238" t="str">
        <f>VLOOKUP(B217,'[1]Resumen'!$B$7:$D$156,3,0)</f>
        <v>Unidad</v>
      </c>
      <c r="E217" s="270">
        <f>VLOOKUP(B217,'[1]Resumen'!B$7:E$156,4,FALSE)</f>
        <v>24</v>
      </c>
      <c r="F217" s="260">
        <f>E217*C217</f>
        <v>384</v>
      </c>
      <c r="G217" s="68"/>
    </row>
    <row r="218" spans="1:7" ht="15">
      <c r="A218" s="60"/>
      <c r="B218" s="70" t="s">
        <v>26</v>
      </c>
      <c r="C218" s="251">
        <v>37</v>
      </c>
      <c r="D218" s="238" t="str">
        <f>VLOOKUP(B218,'[1]Resumen'!$B$7:$D$156,3,0)</f>
        <v>Unidad</v>
      </c>
      <c r="E218" s="270">
        <f>VLOOKUP(B218,'[1]Resumen'!B$7:E$156,4,FALSE)</f>
        <v>16</v>
      </c>
      <c r="F218" s="260">
        <f>E218*C218</f>
        <v>592</v>
      </c>
      <c r="G218" s="68"/>
    </row>
    <row r="219" spans="1:7" ht="15">
      <c r="A219" s="60"/>
      <c r="B219" s="70" t="s">
        <v>38</v>
      </c>
      <c r="C219" s="251">
        <v>5</v>
      </c>
      <c r="D219" s="238" t="str">
        <f>VLOOKUP(B219,'[1]Resumen'!$B$7:$D$156,3,0)</f>
        <v>Unidad</v>
      </c>
      <c r="E219" s="270">
        <f>VLOOKUP(B219,'[1]Resumen'!B$7:E$156,4,FALSE)</f>
        <v>12.6</v>
      </c>
      <c r="F219" s="260">
        <f>E219*C219</f>
        <v>63</v>
      </c>
      <c r="G219" s="68"/>
    </row>
    <row r="220" spans="1:7" ht="15">
      <c r="A220" s="60"/>
      <c r="B220" s="247" t="s">
        <v>39</v>
      </c>
      <c r="C220" s="251">
        <v>14</v>
      </c>
      <c r="D220" s="238" t="str">
        <f>VLOOKUP(B220,'[1]Resumen'!$B$7:$D$156,3,0)</f>
        <v>Unidad</v>
      </c>
      <c r="E220" s="270">
        <f>VLOOKUP(B220,'[1]Resumen'!B$7:E$156,4,FALSE)</f>
        <v>9</v>
      </c>
      <c r="F220" s="260">
        <f t="shared" si="8"/>
        <v>126</v>
      </c>
      <c r="G220" s="60"/>
    </row>
    <row r="221" spans="1:7" ht="15">
      <c r="A221" s="60"/>
      <c r="B221" s="247" t="s">
        <v>40</v>
      </c>
      <c r="C221" s="251">
        <v>17</v>
      </c>
      <c r="D221" s="238" t="str">
        <f>VLOOKUP(B221,'[1]Resumen'!$B$7:$D$156,3,0)</f>
        <v>Unidad</v>
      </c>
      <c r="E221" s="270">
        <f>VLOOKUP(B221,'[1]Resumen'!B$7:E$156,4,FALSE)</f>
        <v>4.7</v>
      </c>
      <c r="F221" s="260">
        <f t="shared" si="8"/>
        <v>79.9</v>
      </c>
      <c r="G221" s="60"/>
    </row>
    <row r="222" spans="1:7" ht="15">
      <c r="A222" s="60"/>
      <c r="B222" s="247" t="s">
        <v>41</v>
      </c>
      <c r="C222" s="251">
        <v>24</v>
      </c>
      <c r="D222" s="238" t="str">
        <f>VLOOKUP(B222,'[1]Resumen'!$B$7:$D$156,3,0)</f>
        <v>Unidad</v>
      </c>
      <c r="E222" s="270">
        <f>VLOOKUP(B222,'[1]Resumen'!B$7:E$156,4,FALSE)</f>
        <v>4</v>
      </c>
      <c r="F222" s="260">
        <f t="shared" si="8"/>
        <v>96</v>
      </c>
      <c r="G222" s="60"/>
    </row>
    <row r="223" spans="1:7" ht="15.75">
      <c r="A223" s="60"/>
      <c r="B223" s="60" t="s">
        <v>8</v>
      </c>
      <c r="C223" s="185"/>
      <c r="D223" s="244"/>
      <c r="E223" s="300"/>
      <c r="F223" s="271">
        <f>SUM(F197:F222)</f>
        <v>7962.68</v>
      </c>
      <c r="G223" s="60" t="s">
        <v>22</v>
      </c>
    </row>
    <row r="224" spans="1:7" ht="15.75">
      <c r="A224" s="239"/>
      <c r="B224" s="239"/>
      <c r="C224" s="252"/>
      <c r="D224" s="248"/>
      <c r="E224" s="360"/>
      <c r="F224" s="361">
        <f>SUM(F223+F195)</f>
        <v>533077.71</v>
      </c>
      <c r="G224" s="60"/>
    </row>
    <row r="225" spans="1:7" ht="15.75">
      <c r="A225" s="64" t="s">
        <v>162</v>
      </c>
      <c r="B225" s="60"/>
      <c r="C225" s="187">
        <v>4</v>
      </c>
      <c r="D225" s="244"/>
      <c r="E225" s="300"/>
      <c r="F225" s="304"/>
      <c r="G225" s="60"/>
    </row>
    <row r="226" spans="1:7" ht="15.75">
      <c r="A226" s="60" t="s">
        <v>6</v>
      </c>
      <c r="B226" s="60"/>
      <c r="C226" s="45"/>
      <c r="D226" s="244"/>
      <c r="E226" s="300"/>
      <c r="F226" s="304"/>
      <c r="G226" s="60"/>
    </row>
    <row r="227" spans="1:7" ht="15">
      <c r="A227" s="60"/>
      <c r="B227" s="60" t="s">
        <v>152</v>
      </c>
      <c r="C227" s="251">
        <v>8</v>
      </c>
      <c r="D227" s="238" t="str">
        <f>VLOOKUP(B227,'[1]Resumen'!$B$7:$D$156,3,0)</f>
        <v>bolsas</v>
      </c>
      <c r="E227" s="270">
        <f>VLOOKUP(B227,'[1]Resumen'!B$7:E$156,4,FALSE)</f>
        <v>180</v>
      </c>
      <c r="F227" s="260">
        <f aca="true" t="shared" si="9" ref="F227:F233">E227*C227</f>
        <v>1440</v>
      </c>
      <c r="G227" s="60"/>
    </row>
    <row r="228" spans="1:7" ht="15">
      <c r="A228" s="60"/>
      <c r="B228" s="60" t="s">
        <v>150</v>
      </c>
      <c r="C228" s="251">
        <v>1.2</v>
      </c>
      <c r="D228" s="238" t="str">
        <f>VLOOKUP(B228,'[1]Resumen'!$B$7:$D$156,3,0)</f>
        <v>m3</v>
      </c>
      <c r="E228" s="270">
        <f>VLOOKUP(B228,'[1]Resumen'!B$7:E$156,4,FALSE)</f>
        <v>700</v>
      </c>
      <c r="F228" s="260">
        <f t="shared" si="9"/>
        <v>840</v>
      </c>
      <c r="G228" s="60"/>
    </row>
    <row r="229" spans="1:7" ht="15">
      <c r="A229" s="60"/>
      <c r="B229" s="60" t="s">
        <v>149</v>
      </c>
      <c r="C229" s="251">
        <v>320</v>
      </c>
      <c r="D229" s="238" t="str">
        <f>VLOOKUP(B229,'[1]Resumen'!$B$7:$D$156,3,0)</f>
        <v>Unidad</v>
      </c>
      <c r="E229" s="270">
        <f>VLOOKUP(B229,'[1]Resumen'!B$7:E$156,4,FALSE)</f>
        <v>1.6</v>
      </c>
      <c r="F229" s="260">
        <f t="shared" si="9"/>
        <v>512</v>
      </c>
      <c r="G229" s="60"/>
    </row>
    <row r="230" spans="1:7" ht="15">
      <c r="A230" s="60"/>
      <c r="B230" s="60" t="s">
        <v>209</v>
      </c>
      <c r="C230" s="251">
        <v>0.5</v>
      </c>
      <c r="D230" s="238" t="str">
        <f>VLOOKUP(B230,'[1]Resumen'!$B$7:$D$156,3,0)</f>
        <v>qq</v>
      </c>
      <c r="E230" s="270">
        <f>VLOOKUP(B230,'[1]Resumen'!B$7:E$156,4,FALSE)</f>
        <v>1500</v>
      </c>
      <c r="F230" s="260">
        <f t="shared" si="9"/>
        <v>750</v>
      </c>
      <c r="G230" s="60"/>
    </row>
    <row r="231" spans="1:7" ht="15">
      <c r="A231" s="60"/>
      <c r="B231" s="60" t="s">
        <v>10</v>
      </c>
      <c r="C231" s="251">
        <v>4</v>
      </c>
      <c r="D231" s="238" t="str">
        <f>VLOOKUP(B231,'[1]Resumen'!$B$7:$D$156,3,0)</f>
        <v>Unidad</v>
      </c>
      <c r="E231" s="270">
        <f>VLOOKUP(B231,'[1]Resumen'!B$7:E$156,4,FALSE)</f>
        <v>950</v>
      </c>
      <c r="F231" s="260">
        <f t="shared" si="9"/>
        <v>3800</v>
      </c>
      <c r="G231" s="60"/>
    </row>
    <row r="232" spans="1:7" ht="15">
      <c r="A232" s="60"/>
      <c r="B232" s="60" t="s">
        <v>9</v>
      </c>
      <c r="C232" s="251">
        <v>4</v>
      </c>
      <c r="D232" s="238" t="str">
        <f>VLOOKUP(B232,'[1]Resumen'!$B$7:$D$156,3,0)</f>
        <v>lbs</v>
      </c>
      <c r="E232" s="270">
        <f>VLOOKUP(B232,'[1]Resumen'!B$7:E$156,4,FALSE)</f>
        <v>20</v>
      </c>
      <c r="F232" s="260">
        <f t="shared" si="9"/>
        <v>80</v>
      </c>
      <c r="G232" s="60"/>
    </row>
    <row r="233" spans="1:7" ht="15.75" thickBot="1">
      <c r="A233" s="60"/>
      <c r="B233" s="60" t="s">
        <v>11</v>
      </c>
      <c r="C233" s="251">
        <v>4</v>
      </c>
      <c r="D233" s="238" t="str">
        <f>VLOOKUP(B233,'[1]Resumen'!$B$7:$D$156,3,0)</f>
        <v>Unidad</v>
      </c>
      <c r="E233" s="270">
        <v>60</v>
      </c>
      <c r="F233" s="260">
        <f t="shared" si="9"/>
        <v>240</v>
      </c>
      <c r="G233" s="60"/>
    </row>
    <row r="234" spans="1:7" ht="16.5" thickBot="1">
      <c r="A234" s="60"/>
      <c r="B234" s="60"/>
      <c r="C234" s="45"/>
      <c r="D234" s="60"/>
      <c r="E234" s="270" t="s">
        <v>12</v>
      </c>
      <c r="F234" s="305">
        <f>SUM(F227:F233)</f>
        <v>7662</v>
      </c>
      <c r="G234" s="60" t="s">
        <v>13</v>
      </c>
    </row>
    <row r="235" spans="1:8" ht="16.5" thickTop="1">
      <c r="A235" s="60"/>
      <c r="B235" s="60"/>
      <c r="C235" s="45"/>
      <c r="D235" s="60"/>
      <c r="E235" s="46" t="s">
        <v>5</v>
      </c>
      <c r="F235" s="47">
        <f>SUMIF(E225:E234,"Subtotal",F225:F234)</f>
        <v>7662</v>
      </c>
      <c r="G235" s="60"/>
      <c r="H235" s="78"/>
    </row>
    <row r="236" spans="1:7" ht="15.75">
      <c r="A236" s="64" t="s">
        <v>221</v>
      </c>
      <c r="B236" s="60"/>
      <c r="C236" s="251">
        <v>225</v>
      </c>
      <c r="D236" s="60" t="s">
        <v>160</v>
      </c>
      <c r="E236" s="46"/>
      <c r="F236" s="47"/>
      <c r="G236" s="60"/>
    </row>
    <row r="237" spans="1:7" ht="15">
      <c r="A237" s="60" t="s">
        <v>6</v>
      </c>
      <c r="B237" s="60"/>
      <c r="C237" s="48"/>
      <c r="D237" s="60"/>
      <c r="E237" s="48"/>
      <c r="F237" s="48"/>
      <c r="G237" s="60"/>
    </row>
    <row r="238" spans="1:7" ht="16.5" customHeight="1">
      <c r="A238" s="60"/>
      <c r="B238" s="60" t="s">
        <v>152</v>
      </c>
      <c r="C238" s="251">
        <v>5</v>
      </c>
      <c r="D238" s="238" t="str">
        <f>VLOOKUP(B238,'[1]Resumen'!$B$7:$D$156,3,0)</f>
        <v>bolsas</v>
      </c>
      <c r="E238" s="270">
        <f>VLOOKUP(B238,'[1]Resumen'!B$7:E$156,4,FALSE)</f>
        <v>180</v>
      </c>
      <c r="F238" s="260">
        <f>E238*C238</f>
        <v>900</v>
      </c>
      <c r="G238" s="60"/>
    </row>
    <row r="239" spans="1:7" ht="16.5" customHeight="1">
      <c r="A239" s="60"/>
      <c r="B239" s="60" t="s">
        <v>150</v>
      </c>
      <c r="C239" s="251">
        <v>0.8</v>
      </c>
      <c r="D239" s="238" t="str">
        <f>VLOOKUP(B239,'[1]Resumen'!$B$7:$D$156,3,0)</f>
        <v>m3</v>
      </c>
      <c r="E239" s="270">
        <f>VLOOKUP(B239,'[1]Resumen'!B$7:E$156,4,FALSE)</f>
        <v>700</v>
      </c>
      <c r="F239" s="260">
        <f>E239*C239</f>
        <v>560</v>
      </c>
      <c r="G239" s="60"/>
    </row>
    <row r="240" spans="1:7" ht="16.5" customHeight="1">
      <c r="A240" s="60"/>
      <c r="B240" s="68" t="s">
        <v>264</v>
      </c>
      <c r="C240" s="251">
        <v>3</v>
      </c>
      <c r="D240" s="238" t="s">
        <v>110</v>
      </c>
      <c r="E240" s="270">
        <v>78</v>
      </c>
      <c r="F240" s="260">
        <f>E240*C240</f>
        <v>234</v>
      </c>
      <c r="G240" s="60"/>
    </row>
    <row r="241" spans="1:7" ht="15.75">
      <c r="A241" s="239"/>
      <c r="B241" s="598" t="s">
        <v>291</v>
      </c>
      <c r="C241" s="598"/>
      <c r="D241" s="598"/>
      <c r="E241" s="598"/>
      <c r="F241" s="265">
        <f>SUM(F238:F240)</f>
        <v>1694</v>
      </c>
      <c r="G241" s="60" t="s">
        <v>13</v>
      </c>
    </row>
    <row r="242" spans="1:7" ht="15.75">
      <c r="A242" s="60" t="s">
        <v>22</v>
      </c>
      <c r="B242" s="60"/>
      <c r="C242" s="251"/>
      <c r="D242" s="60"/>
      <c r="E242" s="270"/>
      <c r="F242" s="258"/>
      <c r="G242" s="60"/>
    </row>
    <row r="243" spans="1:7" ht="15">
      <c r="A243" s="60"/>
      <c r="B243" s="60" t="s">
        <v>225</v>
      </c>
      <c r="C243" s="251">
        <v>3</v>
      </c>
      <c r="D243" s="238" t="str">
        <f>VLOOKUP(B243,'[1]Resumen'!$B$7:$D$156,3,0)</f>
        <v>Unidad</v>
      </c>
      <c r="E243" s="270">
        <f>VLOOKUP(B243,'[1]Resumen'!B$7:E$156,4,FALSE)</f>
        <v>100</v>
      </c>
      <c r="F243" s="260">
        <f>E243*C243</f>
        <v>300</v>
      </c>
      <c r="G243" s="60"/>
    </row>
    <row r="244" spans="1:7" ht="15">
      <c r="A244" s="60"/>
      <c r="B244" s="60" t="s">
        <v>226</v>
      </c>
      <c r="C244" s="251">
        <v>3</v>
      </c>
      <c r="D244" s="238" t="str">
        <f>VLOOKUP(B244,'[1]Resumen'!$B$7:$D$156,3,0)</f>
        <v>Unidad</v>
      </c>
      <c r="E244" s="270">
        <f>VLOOKUP(B244,'[1]Resumen'!B$7:E$156,4,FALSE)</f>
        <v>74</v>
      </c>
      <c r="F244" s="260">
        <f aca="true" t="shared" si="10" ref="F244:F268">E244*C244</f>
        <v>222</v>
      </c>
      <c r="G244" s="60"/>
    </row>
    <row r="245" spans="1:7" ht="15">
      <c r="A245" s="60"/>
      <c r="B245" s="60" t="s">
        <v>227</v>
      </c>
      <c r="C245" s="251">
        <v>3</v>
      </c>
      <c r="D245" s="238" t="str">
        <f>VLOOKUP(B245,'[1]Resumen'!$B$7:$D$156,3,0)</f>
        <v>Unidad</v>
      </c>
      <c r="E245" s="270">
        <f>VLOOKUP(B245,'[1]Resumen'!B$7:E$156,4,FALSE)</f>
        <v>48.5</v>
      </c>
      <c r="F245" s="260">
        <f t="shared" si="10"/>
        <v>145.5</v>
      </c>
      <c r="G245" s="60"/>
    </row>
    <row r="246" spans="1:7" ht="15">
      <c r="A246" s="60"/>
      <c r="B246" s="60" t="s">
        <v>228</v>
      </c>
      <c r="C246" s="251">
        <v>3</v>
      </c>
      <c r="D246" s="238" t="str">
        <f>VLOOKUP(B246,'[1]Resumen'!$B$7:$D$156,3,0)</f>
        <v>Unidad</v>
      </c>
      <c r="E246" s="270">
        <f>VLOOKUP(B246,'[1]Resumen'!B$7:E$156,4,FALSE)</f>
        <v>41</v>
      </c>
      <c r="F246" s="260">
        <f t="shared" si="10"/>
        <v>123</v>
      </c>
      <c r="G246" s="60"/>
    </row>
    <row r="247" spans="1:7" ht="15">
      <c r="A247" s="60"/>
      <c r="B247" s="60" t="s">
        <v>229</v>
      </c>
      <c r="C247" s="251">
        <v>3</v>
      </c>
      <c r="D247" s="238" t="str">
        <f>VLOOKUP(B247,'[1]Resumen'!$B$7:$D$156,3,0)</f>
        <v>Unidad</v>
      </c>
      <c r="E247" s="270">
        <f>VLOOKUP(B247,'[1]Resumen'!B$7:E$156,4,FALSE)</f>
        <v>25.5</v>
      </c>
      <c r="F247" s="260">
        <f t="shared" si="10"/>
        <v>76.5</v>
      </c>
      <c r="G247" s="60"/>
    </row>
    <row r="248" spans="1:7" ht="15">
      <c r="A248" s="60"/>
      <c r="B248" s="60" t="s">
        <v>106</v>
      </c>
      <c r="C248" s="251">
        <v>3</v>
      </c>
      <c r="D248" s="238" t="str">
        <f>VLOOKUP(B248,'[1]Resumen'!$B$7:$D$156,3,0)</f>
        <v>Unidad</v>
      </c>
      <c r="E248" s="270">
        <f>VLOOKUP(B248,'[1]Resumen'!B$7:E$156,4,FALSE)</f>
        <v>20.29</v>
      </c>
      <c r="F248" s="260">
        <f t="shared" si="10"/>
        <v>60.87</v>
      </c>
      <c r="G248" s="60"/>
    </row>
    <row r="249" spans="1:7" ht="15">
      <c r="A249" s="60"/>
      <c r="B249" s="60" t="s">
        <v>105</v>
      </c>
      <c r="C249" s="251">
        <v>3</v>
      </c>
      <c r="D249" s="238" t="str">
        <f>VLOOKUP(B249,'[1]Resumen'!$B$7:$D$156,3,0)</f>
        <v>Unidad</v>
      </c>
      <c r="E249" s="270">
        <f>VLOOKUP(B249,'[1]Resumen'!B$7:E$156,4,FALSE)</f>
        <v>11.1</v>
      </c>
      <c r="F249" s="260">
        <f t="shared" si="10"/>
        <v>33.3</v>
      </c>
      <c r="G249" s="60"/>
    </row>
    <row r="250" spans="1:7" ht="15">
      <c r="A250" s="60"/>
      <c r="B250" s="60" t="s">
        <v>82</v>
      </c>
      <c r="C250" s="251">
        <v>3</v>
      </c>
      <c r="D250" s="238" t="str">
        <f>VLOOKUP(B250,'[1]Resumen'!$B$7:$D$156,3,0)</f>
        <v>Unidad</v>
      </c>
      <c r="E250" s="270">
        <f>VLOOKUP(B250,'[1]Resumen'!B$7:E$156,4,FALSE)</f>
        <v>8</v>
      </c>
      <c r="F250" s="260">
        <f t="shared" si="10"/>
        <v>24</v>
      </c>
      <c r="G250" s="60"/>
    </row>
    <row r="251" spans="1:7" ht="15">
      <c r="A251" s="60"/>
      <c r="B251" s="68" t="s">
        <v>86</v>
      </c>
      <c r="C251" s="251">
        <v>3</v>
      </c>
      <c r="D251" s="238" t="str">
        <f>VLOOKUP(B251,'[1]Resumen'!$B$7:$D$156,3,0)</f>
        <v>Unidad</v>
      </c>
      <c r="E251" s="270">
        <f>VLOOKUP(B251,'[1]Resumen'!B$7:E$156,4,FALSE)</f>
        <v>6.2</v>
      </c>
      <c r="F251" s="260">
        <f t="shared" si="10"/>
        <v>18.6</v>
      </c>
      <c r="G251" s="60"/>
    </row>
    <row r="252" spans="1:7" ht="15">
      <c r="A252" s="60"/>
      <c r="B252" s="60" t="s">
        <v>230</v>
      </c>
      <c r="C252" s="251">
        <v>3</v>
      </c>
      <c r="D252" s="238" t="str">
        <f>VLOOKUP(B252,'[1]Resumen'!$B$7:$D$156,3,0)</f>
        <v>Unidad</v>
      </c>
      <c r="E252" s="270">
        <f>VLOOKUP(B252,'[1]Resumen'!B$7:E$156,4,FALSE)</f>
        <v>5.03</v>
      </c>
      <c r="F252" s="260">
        <f t="shared" si="10"/>
        <v>15.09</v>
      </c>
      <c r="G252" s="60"/>
    </row>
    <row r="253" spans="1:7" ht="15">
      <c r="A253" s="60"/>
      <c r="B253" s="60" t="s">
        <v>234</v>
      </c>
      <c r="C253" s="251">
        <v>3</v>
      </c>
      <c r="D253" s="238" t="str">
        <f>VLOOKUP(B253,'[1]Resumen'!$B$7:$D$156,3,0)</f>
        <v>Unidad</v>
      </c>
      <c r="E253" s="270">
        <f>VLOOKUP(B253,'[1]Resumen'!B$7:E$156,4,FALSE)</f>
        <v>230</v>
      </c>
      <c r="F253" s="260">
        <f t="shared" si="10"/>
        <v>690</v>
      </c>
      <c r="G253" s="60"/>
    </row>
    <row r="254" spans="1:7" ht="15">
      <c r="A254" s="60"/>
      <c r="B254" s="60" t="s">
        <v>218</v>
      </c>
      <c r="C254" s="251">
        <v>4</v>
      </c>
      <c r="D254" s="238" t="str">
        <f>VLOOKUP(B254,'[1]Resumen'!$B$7:$D$156,3,0)</f>
        <v>Unidad</v>
      </c>
      <c r="E254" s="270">
        <f>VLOOKUP(B254,'[1]Resumen'!B$7:E$156,4,FALSE)</f>
        <v>227.5</v>
      </c>
      <c r="F254" s="260">
        <f t="shared" si="10"/>
        <v>910</v>
      </c>
      <c r="G254" s="60"/>
    </row>
    <row r="255" spans="1:7" ht="15">
      <c r="A255" s="60"/>
      <c r="B255" s="60" t="s">
        <v>231</v>
      </c>
      <c r="C255" s="251">
        <v>4</v>
      </c>
      <c r="D255" s="238" t="str">
        <f>VLOOKUP(B255,'[1]Resumen'!$B$7:$D$156,3,0)</f>
        <v>Unidad</v>
      </c>
      <c r="E255" s="270">
        <f>VLOOKUP(B255,'[1]Resumen'!B$7:E$156,4,FALSE)</f>
        <v>145.5</v>
      </c>
      <c r="F255" s="260">
        <f t="shared" si="10"/>
        <v>582</v>
      </c>
      <c r="G255" s="60"/>
    </row>
    <row r="256" spans="1:7" ht="15">
      <c r="A256" s="60"/>
      <c r="B256" s="60" t="s">
        <v>232</v>
      </c>
      <c r="C256" s="251">
        <v>1</v>
      </c>
      <c r="D256" s="238" t="str">
        <f>VLOOKUP(B256,'[1]Resumen'!$B$7:$D$156,3,0)</f>
        <v>Unidad</v>
      </c>
      <c r="E256" s="270">
        <f>VLOOKUP(B256,'[1]Resumen'!B$7:E$156,4,FALSE)</f>
        <v>102</v>
      </c>
      <c r="F256" s="260">
        <f t="shared" si="10"/>
        <v>102</v>
      </c>
      <c r="G256" s="60"/>
    </row>
    <row r="257" spans="1:7" ht="15">
      <c r="A257" s="60"/>
      <c r="B257" s="60" t="s">
        <v>233</v>
      </c>
      <c r="C257" s="251">
        <v>2</v>
      </c>
      <c r="D257" s="238" t="str">
        <f>VLOOKUP(B257,'[1]Resumen'!$B$7:$D$156,3,0)</f>
        <v>Unidad</v>
      </c>
      <c r="E257" s="270">
        <f>VLOOKUP(B257,'[1]Resumen'!B$7:E$156,4,FALSE)</f>
        <v>84</v>
      </c>
      <c r="F257" s="260">
        <f t="shared" si="10"/>
        <v>168</v>
      </c>
      <c r="G257" s="60"/>
    </row>
    <row r="258" spans="1:7" ht="15">
      <c r="A258" s="60"/>
      <c r="B258" s="60" t="s">
        <v>235</v>
      </c>
      <c r="C258" s="251">
        <v>8</v>
      </c>
      <c r="D258" s="238" t="str">
        <f>VLOOKUP(B258,'[1]Resumen'!$B$7:$D$156,3,0)</f>
        <v>Unidad</v>
      </c>
      <c r="E258" s="270">
        <v>275</v>
      </c>
      <c r="F258" s="260">
        <f t="shared" si="10"/>
        <v>2200</v>
      </c>
      <c r="G258" s="60"/>
    </row>
    <row r="259" spans="1:7" ht="15">
      <c r="A259" s="60"/>
      <c r="B259" s="60" t="s">
        <v>219</v>
      </c>
      <c r="C259" s="251">
        <v>12</v>
      </c>
      <c r="D259" s="238" t="str">
        <f>VLOOKUP(B259,'[1]Resumen'!$B$7:$D$156,3,0)</f>
        <v>Unidad</v>
      </c>
      <c r="E259" s="270">
        <f>VLOOKUP(B259,'[1]Resumen'!B$7:E$156,4,FALSE)</f>
        <v>60</v>
      </c>
      <c r="F259" s="260">
        <f t="shared" si="10"/>
        <v>720</v>
      </c>
      <c r="G259" s="60"/>
    </row>
    <row r="260" spans="1:7" ht="15">
      <c r="A260" s="60"/>
      <c r="B260" s="60" t="s">
        <v>236</v>
      </c>
      <c r="C260" s="251">
        <v>10</v>
      </c>
      <c r="D260" s="238" t="str">
        <f>VLOOKUP(B260,'[1]Resumen'!$B$7:$D$156,3,0)</f>
        <v>Unidad</v>
      </c>
      <c r="E260" s="270">
        <f>VLOOKUP(B260,'[1]Resumen'!B$7:E$156,4,FALSE)</f>
        <v>40</v>
      </c>
      <c r="F260" s="260">
        <f t="shared" si="10"/>
        <v>400</v>
      </c>
      <c r="G260" s="60"/>
    </row>
    <row r="261" spans="1:7" ht="15">
      <c r="A261" s="60"/>
      <c r="B261" s="60" t="s">
        <v>237</v>
      </c>
      <c r="C261" s="251">
        <v>4</v>
      </c>
      <c r="D261" s="238" t="str">
        <f>VLOOKUP(B261,'[1]Resumen'!$B$7:$D$156,3,0)</f>
        <v>Unidad</v>
      </c>
      <c r="E261" s="270">
        <f>VLOOKUP(B261,'[1]Resumen'!B$7:E$156,4,FALSE)</f>
        <v>30</v>
      </c>
      <c r="F261" s="260">
        <f t="shared" si="10"/>
        <v>120</v>
      </c>
      <c r="G261" s="60"/>
    </row>
    <row r="262" spans="1:7" ht="15">
      <c r="A262" s="60"/>
      <c r="B262" s="60" t="s">
        <v>163</v>
      </c>
      <c r="C262" s="251">
        <v>6</v>
      </c>
      <c r="D262" s="238" t="str">
        <f>VLOOKUP(B262,'[1]Resumen'!$B$7:$D$156,3,0)</f>
        <v>Unidad</v>
      </c>
      <c r="E262" s="270">
        <f>VLOOKUP(B262,'[1]Resumen'!B$7:E$156,4,FALSE)</f>
        <v>15</v>
      </c>
      <c r="F262" s="260">
        <f t="shared" si="10"/>
        <v>90</v>
      </c>
      <c r="G262" s="60"/>
    </row>
    <row r="263" spans="1:7" ht="15">
      <c r="A263" s="60"/>
      <c r="B263" s="68" t="s">
        <v>238</v>
      </c>
      <c r="C263" s="251">
        <v>3</v>
      </c>
      <c r="D263" s="238" t="str">
        <f>VLOOKUP(B263,'[1]Resumen'!$B$7:$D$156,3,0)</f>
        <v>Unidad</v>
      </c>
      <c r="E263" s="270">
        <f>VLOOKUP(B263,'[1]Resumen'!B$7:E$156,4,FALSE)</f>
        <v>56.55</v>
      </c>
      <c r="F263" s="260">
        <f t="shared" si="10"/>
        <v>169.64999999999998</v>
      </c>
      <c r="G263" s="60"/>
    </row>
    <row r="264" spans="1:7" ht="15">
      <c r="A264" s="60"/>
      <c r="B264" s="68" t="s">
        <v>239</v>
      </c>
      <c r="C264" s="251">
        <v>3</v>
      </c>
      <c r="D264" s="238" t="str">
        <f>VLOOKUP(B264,'[1]Resumen'!$B$7:$D$156,3,0)</f>
        <v>Unidad</v>
      </c>
      <c r="E264" s="270">
        <f>VLOOKUP(B264,'[1]Resumen'!B$7:E$156,4,FALSE)</f>
        <v>30.8</v>
      </c>
      <c r="F264" s="260">
        <f t="shared" si="10"/>
        <v>92.4</v>
      </c>
      <c r="G264" s="60"/>
    </row>
    <row r="265" spans="1:7" ht="15">
      <c r="A265" s="60"/>
      <c r="B265" s="68" t="s">
        <v>240</v>
      </c>
      <c r="C265" s="251">
        <v>3</v>
      </c>
      <c r="D265" s="238" t="str">
        <f>VLOOKUP(B265,'[1]Resumen'!$B$7:$D$156,3,0)</f>
        <v>Unidad</v>
      </c>
      <c r="E265" s="270">
        <f>VLOOKUP(B265,'[1]Resumen'!B$7:E$156,4,FALSE)</f>
        <v>22.81</v>
      </c>
      <c r="F265" s="260">
        <f t="shared" si="10"/>
        <v>68.42999999999999</v>
      </c>
      <c r="G265" s="60"/>
    </row>
    <row r="266" spans="1:7" ht="15">
      <c r="A266" s="60"/>
      <c r="B266" s="68" t="s">
        <v>241</v>
      </c>
      <c r="C266" s="251">
        <v>3</v>
      </c>
      <c r="D266" s="238" t="str">
        <f>VLOOKUP(B266,'[1]Resumen'!$B$7:$D$156,3,0)</f>
        <v>Unidad</v>
      </c>
      <c r="E266" s="270">
        <f>VLOOKUP(B266,'[1]Resumen'!B$7:E$156,4,FALSE)</f>
        <v>15.88</v>
      </c>
      <c r="F266" s="260">
        <f t="shared" si="10"/>
        <v>47.64</v>
      </c>
      <c r="G266" s="60"/>
    </row>
    <row r="267" spans="1:7" ht="15">
      <c r="A267" s="60"/>
      <c r="B267" s="68" t="s">
        <v>242</v>
      </c>
      <c r="C267" s="251">
        <v>3</v>
      </c>
      <c r="D267" s="238" t="str">
        <f>VLOOKUP(B267,'[1]Resumen'!$B$7:$D$156,3,0)</f>
        <v>Unidad</v>
      </c>
      <c r="E267" s="270">
        <f>VLOOKUP(B267,'[1]Resumen'!B$7:E$156,4,FALSE)</f>
        <v>8.97</v>
      </c>
      <c r="F267" s="260">
        <f t="shared" si="10"/>
        <v>26.910000000000004</v>
      </c>
      <c r="G267" s="60"/>
    </row>
    <row r="268" spans="1:7" ht="15">
      <c r="A268" s="60"/>
      <c r="B268" s="60" t="s">
        <v>100</v>
      </c>
      <c r="C268" s="251">
        <v>70</v>
      </c>
      <c r="D268" s="238" t="str">
        <f>VLOOKUP(B268,'[1]Resumen'!$B$7:$D$156,3,0)</f>
        <v>Rollo</v>
      </c>
      <c r="E268" s="270">
        <f>VLOOKUP(B268,'[1]Resumen'!B$7:E$156,4,FALSE)</f>
        <v>6</v>
      </c>
      <c r="F268" s="260">
        <f t="shared" si="10"/>
        <v>420</v>
      </c>
      <c r="G268" s="60"/>
    </row>
    <row r="269" spans="1:7" ht="15.75">
      <c r="A269" s="60"/>
      <c r="B269" s="60"/>
      <c r="C269" s="251"/>
      <c r="D269" s="60"/>
      <c r="E269" s="270" t="s">
        <v>12</v>
      </c>
      <c r="F269" s="258">
        <f>SUM(F243:F268)</f>
        <v>7825.89</v>
      </c>
      <c r="G269" s="60" t="s">
        <v>22</v>
      </c>
    </row>
    <row r="270" spans="1:7" ht="15.75">
      <c r="A270" s="64" t="s">
        <v>23</v>
      </c>
      <c r="B270" s="60"/>
      <c r="C270" s="51" t="s">
        <v>254</v>
      </c>
      <c r="D270" s="60"/>
      <c r="E270" s="48"/>
      <c r="F270" s="48"/>
      <c r="G270" s="60"/>
    </row>
    <row r="271" spans="1:7" ht="15.75">
      <c r="A271" s="64"/>
      <c r="B271" s="60" t="s">
        <v>222</v>
      </c>
      <c r="C271" s="251">
        <v>8</v>
      </c>
      <c r="D271" s="238" t="str">
        <f>VLOOKUP(B271,'[1]Resumen'!$B$7:$D$156,3,0)</f>
        <v>Unidad</v>
      </c>
      <c r="E271" s="270">
        <f>VLOOKUP(B271,'[1]Resumen'!B$7:E$156,4,FALSE)</f>
        <v>2000</v>
      </c>
      <c r="F271" s="260">
        <f>E271*C271</f>
        <v>16000</v>
      </c>
      <c r="G271" s="60"/>
    </row>
    <row r="272" spans="1:7" ht="15.75">
      <c r="A272" s="64"/>
      <c r="B272" s="60" t="s">
        <v>220</v>
      </c>
      <c r="C272" s="251">
        <v>13</v>
      </c>
      <c r="D272" s="238" t="str">
        <f>VLOOKUP(B272,'[1]Resumen'!$B$7:$D$156,3,0)</f>
        <v>Unidad</v>
      </c>
      <c r="E272" s="270">
        <f>VLOOKUP(B272,'[1]Resumen'!B$7:E$156,4,FALSE)</f>
        <v>1625</v>
      </c>
      <c r="F272" s="260">
        <f>E272*C272</f>
        <v>21125</v>
      </c>
      <c r="G272" s="60"/>
    </row>
    <row r="273" spans="1:7" ht="15.75">
      <c r="A273" s="64"/>
      <c r="B273" s="60" t="s">
        <v>223</v>
      </c>
      <c r="C273" s="251">
        <v>11</v>
      </c>
      <c r="D273" s="238" t="str">
        <f>VLOOKUP(B273,'[1]Resumen'!$B$7:$D$156,3,0)</f>
        <v>Unidad</v>
      </c>
      <c r="E273" s="270">
        <f>VLOOKUP(B273,'[1]Resumen'!B$7:E$156,4,FALSE)</f>
        <v>1272</v>
      </c>
      <c r="F273" s="260">
        <f>E273*C273</f>
        <v>13992</v>
      </c>
      <c r="G273" s="60"/>
    </row>
    <row r="274" spans="1:7" ht="15.75">
      <c r="A274" s="64"/>
      <c r="B274" s="60" t="s">
        <v>224</v>
      </c>
      <c r="C274" s="251">
        <v>2</v>
      </c>
      <c r="D274" s="238" t="str">
        <f>VLOOKUP(B274,'[1]Resumen'!$B$7:$D$156,3,0)</f>
        <v>Unidad</v>
      </c>
      <c r="E274" s="270">
        <f>VLOOKUP(B274,'[1]Resumen'!B$7:E$156,4,FALSE)</f>
        <v>1076</v>
      </c>
      <c r="F274" s="260">
        <f>E274*C274</f>
        <v>2152</v>
      </c>
      <c r="G274" s="60"/>
    </row>
    <row r="275" spans="1:7" ht="15.75">
      <c r="A275" s="64"/>
      <c r="B275" s="60" t="s">
        <v>107</v>
      </c>
      <c r="C275" s="251">
        <v>5</v>
      </c>
      <c r="D275" s="238" t="str">
        <f>VLOOKUP(B275,'[1]Resumen'!$B$7:$D$156,3,0)</f>
        <v>Unidad</v>
      </c>
      <c r="E275" s="270">
        <f>VLOOKUP(B275,'[1]Resumen'!B$7:E$156,4,FALSE)</f>
        <v>800</v>
      </c>
      <c r="F275" s="260">
        <f>E275*C275</f>
        <v>4000</v>
      </c>
      <c r="G275" s="60"/>
    </row>
    <row r="276" spans="1:7" ht="16.5" thickBot="1">
      <c r="A276" s="64"/>
      <c r="B276" s="60"/>
      <c r="C276" s="60"/>
      <c r="D276" s="60"/>
      <c r="E276" s="270" t="s">
        <v>12</v>
      </c>
      <c r="F276" s="279">
        <f>SUM(F271:F275)</f>
        <v>57269</v>
      </c>
      <c r="G276" s="60" t="s">
        <v>20</v>
      </c>
    </row>
    <row r="277" spans="1:7" ht="16.5" thickTop="1">
      <c r="A277" s="245"/>
      <c r="B277" s="239"/>
      <c r="C277" s="599" t="s">
        <v>292</v>
      </c>
      <c r="D277" s="599"/>
      <c r="E277" s="599"/>
      <c r="F277" s="265">
        <f>SUM(F269+F276)</f>
        <v>65094.89</v>
      </c>
      <c r="G277" s="60"/>
    </row>
    <row r="278" spans="1:8" s="73" customFormat="1" ht="15.75">
      <c r="A278" s="68"/>
      <c r="B278" s="68"/>
      <c r="C278" s="68"/>
      <c r="D278" s="68"/>
      <c r="E278" s="253" t="s">
        <v>5</v>
      </c>
      <c r="F278" s="265">
        <f>SUM(F276+F241+F269)</f>
        <v>66788.89</v>
      </c>
      <c r="G278" s="242"/>
      <c r="H278" s="78"/>
    </row>
    <row r="279" spans="1:7" ht="15.75">
      <c r="A279" s="64" t="s">
        <v>129</v>
      </c>
      <c r="B279" s="60"/>
      <c r="C279" s="362">
        <v>109</v>
      </c>
      <c r="D279" s="64" t="s">
        <v>7</v>
      </c>
      <c r="E279" s="48"/>
      <c r="F279" s="48"/>
      <c r="G279" s="60"/>
    </row>
    <row r="280" spans="1:7" ht="15.75">
      <c r="A280" s="60"/>
      <c r="B280" s="60"/>
      <c r="C280" s="66"/>
      <c r="D280" s="60"/>
      <c r="E280" s="270"/>
      <c r="F280" s="258"/>
      <c r="G280" s="60"/>
    </row>
    <row r="281" spans="1:7" ht="15">
      <c r="A281" s="60"/>
      <c r="B281" s="60" t="s">
        <v>128</v>
      </c>
      <c r="C281" s="251">
        <v>114</v>
      </c>
      <c r="D281" s="238" t="str">
        <f>VLOOKUP(B281,'[1]Resumen'!$B$7:$D$156,3,0)</f>
        <v>Unidad</v>
      </c>
      <c r="E281" s="270">
        <f>VLOOKUP(B281,'[1]Resumen'!B$7:E$156,4,FALSE)</f>
        <v>54</v>
      </c>
      <c r="F281" s="260">
        <v>6156</v>
      </c>
      <c r="G281" s="60"/>
    </row>
    <row r="282" spans="1:7" ht="15">
      <c r="A282" s="60"/>
      <c r="B282" s="68" t="s">
        <v>130</v>
      </c>
      <c r="C282" s="251">
        <v>114</v>
      </c>
      <c r="D282" s="238" t="str">
        <f>VLOOKUP(B282,'[1]Resumen'!$B$7:$D$156,3,0)</f>
        <v>Unidad</v>
      </c>
      <c r="E282" s="270">
        <f>VLOOKUP(B282,'[1]Resumen'!B$7:E$156,4,FALSE)</f>
        <v>2.6</v>
      </c>
      <c r="F282" s="260">
        <f>E282*C282</f>
        <v>296.40000000000003</v>
      </c>
      <c r="G282" s="60"/>
    </row>
    <row r="283" spans="1:7" ht="15">
      <c r="A283" s="60"/>
      <c r="B283" s="68" t="s">
        <v>131</v>
      </c>
      <c r="C283" s="251">
        <v>327</v>
      </c>
      <c r="D283" s="238" t="str">
        <f>VLOOKUP(B283,'[1]Resumen'!$B$7:$D$156,3,0)</f>
        <v>Unidad</v>
      </c>
      <c r="E283" s="270">
        <f>VLOOKUP(B283,'[1]Resumen'!B$7:E$156,4,FALSE)</f>
        <v>10</v>
      </c>
      <c r="F283" s="260">
        <f>E283*C283</f>
        <v>3270</v>
      </c>
      <c r="G283" s="60"/>
    </row>
    <row r="284" spans="1:7" ht="15">
      <c r="A284" s="60"/>
      <c r="B284" s="247" t="s">
        <v>99</v>
      </c>
      <c r="C284" s="251">
        <v>114</v>
      </c>
      <c r="D284" s="238" t="str">
        <f>VLOOKUP(B284,'[1]Resumen'!$B$7:$D$156,3,0)</f>
        <v>Unidad</v>
      </c>
      <c r="E284" s="270">
        <f>VLOOKUP(B284,'[1]Resumen'!B$7:E$156,4,FALSE)</f>
        <v>2.63</v>
      </c>
      <c r="F284" s="260">
        <f>E284*C284</f>
        <v>299.82</v>
      </c>
      <c r="G284" s="60"/>
    </row>
    <row r="285" spans="1:7" ht="15">
      <c r="A285" s="60"/>
      <c r="B285" s="60" t="s">
        <v>260</v>
      </c>
      <c r="C285" s="251">
        <v>109</v>
      </c>
      <c r="D285" s="238" t="s">
        <v>3</v>
      </c>
      <c r="E285" s="270">
        <v>550</v>
      </c>
      <c r="F285" s="260">
        <f>E285*C285</f>
        <v>59950</v>
      </c>
      <c r="G285" s="60"/>
    </row>
    <row r="286" spans="1:7" ht="15">
      <c r="A286" s="60"/>
      <c r="B286" s="60" t="s">
        <v>119</v>
      </c>
      <c r="C286" s="251">
        <v>109</v>
      </c>
      <c r="D286" s="238" t="str">
        <f>VLOOKUP(B286,'[1]Resumen'!$B$7:$D$156,3,0)</f>
        <v>Unidad</v>
      </c>
      <c r="E286" s="270">
        <f>VLOOKUP(B286,'[1]Resumen'!B$7:E$156,4,FALSE)</f>
        <v>850</v>
      </c>
      <c r="F286" s="260">
        <f>E286*C286</f>
        <v>92650</v>
      </c>
      <c r="G286" s="60"/>
    </row>
    <row r="287" spans="1:7" ht="16.5" thickBot="1">
      <c r="A287" s="239"/>
      <c r="B287" s="239"/>
      <c r="C287" s="598" t="s">
        <v>292</v>
      </c>
      <c r="D287" s="598"/>
      <c r="E287" s="598"/>
      <c r="F287" s="306">
        <f>SUM(F281:F286)</f>
        <v>162622.22</v>
      </c>
      <c r="G287" s="60" t="s">
        <v>22</v>
      </c>
    </row>
    <row r="288" spans="1:6" ht="15.75" thickTop="1">
      <c r="A288" s="2"/>
      <c r="B288" s="2"/>
      <c r="C288" s="52"/>
      <c r="D288" s="2"/>
      <c r="E288" s="48"/>
      <c r="F288" s="48"/>
    </row>
    <row r="289" spans="1:6" ht="15">
      <c r="A289" s="2"/>
      <c r="B289" s="2"/>
      <c r="C289" s="48"/>
      <c r="D289" s="2"/>
      <c r="E289" s="48"/>
      <c r="F289" s="48"/>
    </row>
    <row r="290" spans="1:6" ht="15">
      <c r="A290" s="2"/>
      <c r="B290" s="2"/>
      <c r="C290" s="52"/>
      <c r="D290" s="2"/>
      <c r="E290" s="48"/>
      <c r="F290" s="48"/>
    </row>
    <row r="291" spans="1:6" ht="15">
      <c r="A291" s="2"/>
      <c r="B291" s="2"/>
      <c r="C291" s="52"/>
      <c r="D291" s="2"/>
      <c r="E291" s="48"/>
      <c r="F291" s="48"/>
    </row>
    <row r="292" spans="1:6" ht="15">
      <c r="A292" s="2"/>
      <c r="B292" s="2"/>
      <c r="C292" s="52"/>
      <c r="D292" s="2"/>
      <c r="E292" s="48"/>
      <c r="F292" s="48"/>
    </row>
    <row r="293" spans="1:6" ht="15">
      <c r="A293" s="2"/>
      <c r="B293" s="2"/>
      <c r="C293" s="52"/>
      <c r="D293" s="2"/>
      <c r="E293" s="48"/>
      <c r="F293" s="48"/>
    </row>
    <row r="294" spans="1:6" ht="15">
      <c r="A294" s="2"/>
      <c r="B294" s="2"/>
      <c r="C294" s="52"/>
      <c r="D294" s="2"/>
      <c r="E294" s="48"/>
      <c r="F294" s="48"/>
    </row>
    <row r="295" spans="1:6" ht="15">
      <c r="A295" s="2"/>
      <c r="B295" s="2"/>
      <c r="C295" s="52"/>
      <c r="D295" s="2"/>
      <c r="E295" s="48"/>
      <c r="F295" s="48"/>
    </row>
    <row r="296" spans="1:6" ht="15">
      <c r="A296" s="2"/>
      <c r="B296" s="2"/>
      <c r="C296" s="52"/>
      <c r="D296" s="2"/>
      <c r="E296" s="48"/>
      <c r="F296" s="48"/>
    </row>
    <row r="297" spans="1:6" ht="15">
      <c r="A297" s="2"/>
      <c r="B297" s="2"/>
      <c r="C297" s="52"/>
      <c r="D297" s="2"/>
      <c r="E297" s="48"/>
      <c r="F297" s="48"/>
    </row>
    <row r="298" spans="1:7" ht="15">
      <c r="A298" s="2"/>
      <c r="B298" s="2"/>
      <c r="C298" s="52"/>
      <c r="D298" s="2"/>
      <c r="E298" s="48"/>
      <c r="F298" s="48"/>
      <c r="G298" s="52"/>
    </row>
    <row r="299" spans="1:6" ht="15">
      <c r="A299" s="2"/>
      <c r="B299" s="2"/>
      <c r="C299" s="52"/>
      <c r="D299" s="2"/>
      <c r="E299" s="48"/>
      <c r="F299" s="48"/>
    </row>
    <row r="300" spans="1:6" ht="15">
      <c r="A300" s="2"/>
      <c r="B300" s="2"/>
      <c r="C300" s="52"/>
      <c r="D300" s="2"/>
      <c r="E300" s="48"/>
      <c r="F300" s="48"/>
    </row>
    <row r="301" spans="1:6" ht="15">
      <c r="A301" s="2"/>
      <c r="B301" s="2"/>
      <c r="C301" s="52"/>
      <c r="D301" s="2"/>
      <c r="E301" s="48"/>
      <c r="F301" s="48"/>
    </row>
    <row r="302" spans="1:6" ht="15">
      <c r="A302" s="2"/>
      <c r="B302" s="2"/>
      <c r="C302" s="52"/>
      <c r="D302" s="2"/>
      <c r="E302" s="48"/>
      <c r="F302" s="48"/>
    </row>
    <row r="303" spans="1:6" ht="15">
      <c r="A303" s="2"/>
      <c r="B303" s="2"/>
      <c r="C303" s="52"/>
      <c r="D303" s="2"/>
      <c r="E303" s="48"/>
      <c r="F303" s="48"/>
    </row>
    <row r="304" spans="1:6" ht="15">
      <c r="A304" s="2"/>
      <c r="B304" s="2"/>
      <c r="C304" s="52"/>
      <c r="D304" s="2"/>
      <c r="E304" s="48"/>
      <c r="F304" s="48"/>
    </row>
    <row r="305" spans="1:6" ht="15">
      <c r="A305" s="2"/>
      <c r="B305" s="2"/>
      <c r="C305" s="52"/>
      <c r="D305" s="2"/>
      <c r="E305" s="48"/>
      <c r="F305" s="48"/>
    </row>
    <row r="306" spans="1:6" ht="15">
      <c r="A306" s="2"/>
      <c r="B306" s="2"/>
      <c r="C306" s="52"/>
      <c r="D306" s="2"/>
      <c r="E306" s="48"/>
      <c r="F306" s="48"/>
    </row>
    <row r="307" spans="1:6" ht="15">
      <c r="A307" s="2"/>
      <c r="B307" s="2"/>
      <c r="C307" s="52"/>
      <c r="D307" s="2"/>
      <c r="E307" s="48"/>
      <c r="F307" s="48"/>
    </row>
    <row r="308" spans="1:6" ht="15">
      <c r="A308" s="2"/>
      <c r="B308" s="2"/>
      <c r="C308" s="52"/>
      <c r="D308" s="2"/>
      <c r="E308" s="48"/>
      <c r="F308" s="48"/>
    </row>
    <row r="309" spans="1:6" ht="15">
      <c r="A309" s="2"/>
      <c r="B309" s="2"/>
      <c r="C309" s="52"/>
      <c r="D309" s="2"/>
      <c r="E309" s="48"/>
      <c r="F309" s="48"/>
    </row>
    <row r="310" spans="1:6" ht="15">
      <c r="A310" s="2"/>
      <c r="B310" s="2"/>
      <c r="C310" s="52"/>
      <c r="D310" s="2"/>
      <c r="E310" s="48"/>
      <c r="F310" s="48"/>
    </row>
    <row r="311" spans="1:6" ht="15">
      <c r="A311" s="2"/>
      <c r="B311" s="2"/>
      <c r="C311" s="52"/>
      <c r="D311" s="2"/>
      <c r="E311" s="48"/>
      <c r="F311" s="48"/>
    </row>
    <row r="312" spans="1:6" ht="15">
      <c r="A312" s="2"/>
      <c r="B312" s="2"/>
      <c r="C312" s="52"/>
      <c r="D312" s="2"/>
      <c r="E312" s="48"/>
      <c r="F312" s="48"/>
    </row>
    <row r="313" spans="1:6" ht="15">
      <c r="A313" s="2"/>
      <c r="B313" s="2"/>
      <c r="C313" s="52"/>
      <c r="D313" s="2"/>
      <c r="E313" s="48"/>
      <c r="F313" s="48"/>
    </row>
    <row r="314" spans="1:6" ht="15">
      <c r="A314" s="2"/>
      <c r="B314" s="2"/>
      <c r="C314" s="52"/>
      <c r="D314" s="2"/>
      <c r="E314" s="48"/>
      <c r="F314" s="48"/>
    </row>
    <row r="315" spans="1:6" ht="15">
      <c r="A315" s="2"/>
      <c r="B315" s="2"/>
      <c r="C315" s="52"/>
      <c r="D315" s="2"/>
      <c r="E315" s="48"/>
      <c r="F315" s="48"/>
    </row>
    <row r="316" spans="1:6" ht="15">
      <c r="A316" s="2"/>
      <c r="B316" s="2"/>
      <c r="C316" s="52"/>
      <c r="D316" s="2"/>
      <c r="E316" s="48"/>
      <c r="F316" s="48"/>
    </row>
    <row r="317" spans="1:6" ht="15">
      <c r="A317" s="2"/>
      <c r="B317" s="2"/>
      <c r="C317" s="52"/>
      <c r="D317" s="2"/>
      <c r="E317" s="48"/>
      <c r="F317" s="48"/>
    </row>
    <row r="318" spans="1:6" ht="15">
      <c r="A318" s="2"/>
      <c r="B318" s="2"/>
      <c r="C318" s="52"/>
      <c r="D318" s="2"/>
      <c r="E318" s="48"/>
      <c r="F318" s="48"/>
    </row>
    <row r="319" spans="1:6" ht="15">
      <c r="A319" s="2"/>
      <c r="B319" s="2"/>
      <c r="C319" s="52"/>
      <c r="D319" s="2"/>
      <c r="E319" s="48"/>
      <c r="F319" s="48"/>
    </row>
    <row r="320" spans="1:6" ht="15">
      <c r="A320" s="2"/>
      <c r="B320" s="2"/>
      <c r="C320" s="52"/>
      <c r="D320" s="2"/>
      <c r="E320" s="48"/>
      <c r="F320" s="48"/>
    </row>
    <row r="321" spans="1:6" ht="15">
      <c r="A321" s="2"/>
      <c r="B321" s="2"/>
      <c r="C321" s="52"/>
      <c r="D321" s="2"/>
      <c r="E321" s="48"/>
      <c r="F321" s="48"/>
    </row>
    <row r="322" spans="1:6" ht="15">
      <c r="A322" s="2"/>
      <c r="B322" s="2"/>
      <c r="C322" s="52"/>
      <c r="D322" s="2"/>
      <c r="E322" s="48"/>
      <c r="F322" s="48"/>
    </row>
    <row r="323" spans="1:6" ht="15">
      <c r="A323" s="2"/>
      <c r="B323" s="2"/>
      <c r="C323" s="52"/>
      <c r="D323" s="2"/>
      <c r="E323" s="48"/>
      <c r="F323" s="48"/>
    </row>
    <row r="324" spans="1:6" ht="15">
      <c r="A324" s="2"/>
      <c r="B324" s="2"/>
      <c r="C324" s="52"/>
      <c r="D324" s="2"/>
      <c r="E324" s="48"/>
      <c r="F324" s="48"/>
    </row>
    <row r="325" spans="1:6" ht="15">
      <c r="A325" s="2"/>
      <c r="B325" s="2"/>
      <c r="C325" s="52"/>
      <c r="D325" s="2"/>
      <c r="E325" s="48"/>
      <c r="F325" s="48"/>
    </row>
    <row r="326" spans="1:6" ht="15">
      <c r="A326" s="2"/>
      <c r="B326" s="2"/>
      <c r="C326" s="52"/>
      <c r="D326" s="2"/>
      <c r="E326" s="48"/>
      <c r="F326" s="48"/>
    </row>
    <row r="327" spans="1:6" ht="15">
      <c r="A327" s="2"/>
      <c r="B327" s="2"/>
      <c r="C327" s="52"/>
      <c r="D327" s="2"/>
      <c r="E327" s="48"/>
      <c r="F327" s="48"/>
    </row>
    <row r="328" spans="1:6" ht="15">
      <c r="A328" s="2"/>
      <c r="B328" s="2"/>
      <c r="C328" s="52"/>
      <c r="D328" s="2"/>
      <c r="E328" s="48"/>
      <c r="F328" s="48"/>
    </row>
    <row r="329" spans="1:6" ht="15">
      <c r="A329" s="2"/>
      <c r="B329" s="2"/>
      <c r="C329" s="52"/>
      <c r="D329" s="2"/>
      <c r="E329" s="48"/>
      <c r="F329" s="48"/>
    </row>
    <row r="330" spans="1:6" ht="15">
      <c r="A330" s="2"/>
      <c r="B330" s="2"/>
      <c r="C330" s="52"/>
      <c r="D330" s="2"/>
      <c r="E330" s="48"/>
      <c r="F330" s="48"/>
    </row>
    <row r="331" spans="1:6" ht="15">
      <c r="A331" s="2"/>
      <c r="B331" s="2"/>
      <c r="C331" s="52"/>
      <c r="D331" s="2"/>
      <c r="E331" s="48"/>
      <c r="F331" s="48"/>
    </row>
    <row r="332" spans="1:6" ht="15">
      <c r="A332" s="2"/>
      <c r="B332" s="2"/>
      <c r="C332" s="52"/>
      <c r="D332" s="2"/>
      <c r="E332" s="48"/>
      <c r="F332" s="48"/>
    </row>
    <row r="333" spans="1:6" ht="15">
      <c r="A333" s="2"/>
      <c r="B333" s="2"/>
      <c r="C333" s="52"/>
      <c r="D333" s="2"/>
      <c r="E333" s="48"/>
      <c r="F333" s="48"/>
    </row>
    <row r="334" spans="1:6" ht="15">
      <c r="A334" s="2"/>
      <c r="B334" s="2"/>
      <c r="C334" s="52"/>
      <c r="D334" s="2"/>
      <c r="E334" s="48"/>
      <c r="F334" s="48"/>
    </row>
    <row r="335" spans="1:6" ht="15">
      <c r="A335" s="2"/>
      <c r="B335" s="2"/>
      <c r="C335" s="52"/>
      <c r="D335" s="2"/>
      <c r="E335" s="48"/>
      <c r="F335" s="48"/>
    </row>
    <row r="336" spans="1:6" ht="15">
      <c r="A336" s="2"/>
      <c r="B336" s="2"/>
      <c r="C336" s="52"/>
      <c r="D336" s="2"/>
      <c r="E336" s="48"/>
      <c r="F336" s="48"/>
    </row>
    <row r="337" spans="1:6" ht="15">
      <c r="A337" s="2"/>
      <c r="B337" s="2"/>
      <c r="C337" s="52"/>
      <c r="D337" s="2"/>
      <c r="E337" s="48"/>
      <c r="F337" s="48"/>
    </row>
    <row r="338" spans="1:6" ht="15">
      <c r="A338" s="2"/>
      <c r="B338" s="2"/>
      <c r="C338" s="52"/>
      <c r="D338" s="2"/>
      <c r="E338" s="48"/>
      <c r="F338" s="48"/>
    </row>
    <row r="339" spans="1:6" ht="15">
      <c r="A339" s="2"/>
      <c r="B339" s="2"/>
      <c r="C339" s="52"/>
      <c r="D339" s="2"/>
      <c r="E339" s="48"/>
      <c r="F339" s="48"/>
    </row>
    <row r="340" spans="1:6" ht="15">
      <c r="A340" s="2"/>
      <c r="B340" s="2"/>
      <c r="C340" s="52"/>
      <c r="D340" s="2"/>
      <c r="E340" s="48"/>
      <c r="F340" s="48"/>
    </row>
    <row r="341" spans="1:6" ht="15">
      <c r="A341" s="2"/>
      <c r="B341" s="2"/>
      <c r="C341" s="52"/>
      <c r="D341" s="2"/>
      <c r="E341" s="48"/>
      <c r="F341" s="48"/>
    </row>
    <row r="342" spans="1:6" ht="15">
      <c r="A342" s="2"/>
      <c r="B342" s="2"/>
      <c r="C342" s="52"/>
      <c r="D342" s="2"/>
      <c r="E342" s="48"/>
      <c r="F342" s="48"/>
    </row>
    <row r="343" spans="1:6" ht="15">
      <c r="A343" s="2"/>
      <c r="B343" s="2"/>
      <c r="C343" s="52"/>
      <c r="D343" s="2"/>
      <c r="E343" s="48"/>
      <c r="F343" s="48"/>
    </row>
    <row r="344" spans="1:6" ht="15">
      <c r="A344" s="2"/>
      <c r="B344" s="2"/>
      <c r="C344" s="52"/>
      <c r="D344" s="2"/>
      <c r="E344" s="48"/>
      <c r="F344" s="48"/>
    </row>
    <row r="345" spans="1:6" ht="15">
      <c r="A345" s="2"/>
      <c r="B345" s="2"/>
      <c r="C345" s="52"/>
      <c r="D345" s="2"/>
      <c r="E345" s="48"/>
      <c r="F345" s="48"/>
    </row>
    <row r="346" spans="1:6" ht="15">
      <c r="A346" s="2"/>
      <c r="B346" s="2"/>
      <c r="C346" s="52"/>
      <c r="D346" s="2"/>
      <c r="E346" s="48"/>
      <c r="F346" s="48"/>
    </row>
    <row r="347" spans="1:6" ht="15">
      <c r="A347" s="2"/>
      <c r="B347" s="2"/>
      <c r="C347" s="52"/>
      <c r="D347" s="2"/>
      <c r="E347" s="48"/>
      <c r="F347" s="48"/>
    </row>
    <row r="348" spans="1:6" ht="15">
      <c r="A348" s="2"/>
      <c r="B348" s="2"/>
      <c r="C348" s="52"/>
      <c r="D348" s="2"/>
      <c r="E348" s="48"/>
      <c r="F348" s="48"/>
    </row>
    <row r="349" spans="1:6" ht="15">
      <c r="A349" s="2"/>
      <c r="B349" s="2"/>
      <c r="C349" s="52"/>
      <c r="D349" s="2"/>
      <c r="E349" s="48"/>
      <c r="F349" s="48"/>
    </row>
    <row r="350" spans="1:6" ht="15">
      <c r="A350" s="2"/>
      <c r="B350" s="2"/>
      <c r="C350" s="52"/>
      <c r="D350" s="2"/>
      <c r="E350" s="48"/>
      <c r="F350" s="48"/>
    </row>
    <row r="351" spans="1:6" ht="15">
      <c r="A351" s="2"/>
      <c r="B351" s="2"/>
      <c r="C351" s="52"/>
      <c r="D351" s="2"/>
      <c r="E351" s="48"/>
      <c r="F351" s="48"/>
    </row>
    <row r="352" spans="1:6" ht="15">
      <c r="A352" s="2"/>
      <c r="B352" s="2"/>
      <c r="C352" s="52"/>
      <c r="D352" s="2"/>
      <c r="E352" s="48"/>
      <c r="F352" s="48"/>
    </row>
    <row r="353" spans="1:6" ht="15">
      <c r="A353" s="2"/>
      <c r="B353" s="2"/>
      <c r="C353" s="52"/>
      <c r="D353" s="2"/>
      <c r="E353" s="48"/>
      <c r="F353" s="48"/>
    </row>
    <row r="354" spans="1:6" ht="15">
      <c r="A354" s="2"/>
      <c r="B354" s="2"/>
      <c r="C354" s="52"/>
      <c r="D354" s="2"/>
      <c r="E354" s="48"/>
      <c r="F354" s="48"/>
    </row>
    <row r="355" spans="1:6" ht="15">
      <c r="A355" s="2"/>
      <c r="B355" s="2"/>
      <c r="C355" s="52"/>
      <c r="D355" s="2"/>
      <c r="E355" s="48"/>
      <c r="F355" s="48"/>
    </row>
    <row r="356" spans="1:6" ht="15">
      <c r="A356" s="2"/>
      <c r="B356" s="2"/>
      <c r="C356" s="52"/>
      <c r="D356" s="2"/>
      <c r="E356" s="48"/>
      <c r="F356" s="48"/>
    </row>
    <row r="357" spans="1:6" ht="15">
      <c r="A357" s="2"/>
      <c r="B357" s="2"/>
      <c r="C357" s="52"/>
      <c r="D357" s="2"/>
      <c r="E357" s="48"/>
      <c r="F357" s="48"/>
    </row>
  </sheetData>
  <sheetProtection/>
  <mergeCells count="18">
    <mergeCell ref="E8:E9"/>
    <mergeCell ref="A5:F5"/>
    <mergeCell ref="C36:E36"/>
    <mergeCell ref="A6:F6"/>
    <mergeCell ref="A9:B9"/>
    <mergeCell ref="C45:E45"/>
    <mergeCell ref="C81:E81"/>
    <mergeCell ref="C66:E66"/>
    <mergeCell ref="C91:E91"/>
    <mergeCell ref="C103:E103"/>
    <mergeCell ref="C111:E111"/>
    <mergeCell ref="B57:E57"/>
    <mergeCell ref="C287:E287"/>
    <mergeCell ref="B241:E241"/>
    <mergeCell ref="B133:E133"/>
    <mergeCell ref="B121:E121"/>
    <mergeCell ref="C179:E179"/>
    <mergeCell ref="C277:E277"/>
  </mergeCells>
  <printOptions horizontalCentered="1" verticalCentered="1"/>
  <pageMargins left="0.5905511811023623" right="0.23" top="0.7874015748031497" bottom="1.11" header="0.3937007874015748" footer="0.74"/>
  <pageSetup fitToHeight="6" horizontalDpi="180" verticalDpi="180" orientation="portrait" scale="65" r:id="rId1"/>
  <headerFooter alignWithMargins="0">
    <oddHeader>&amp;LProyecto de Agua Potable.
Estudio de Factibilidad 2,008&amp;RComunidad  Mongallo/Negrowas
Municipio Siuna RAAN</oddHeader>
    <oddFooter>&amp;L&amp;F
&amp;D&amp;C&amp;P&amp;RAPLV - Rio Blanco</oddFooter>
  </headerFooter>
  <ignoredErrors>
    <ignoredError sqref="C68 C92" numberStoredAsText="1"/>
    <ignoredError sqref="F2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K38"/>
  <sheetViews>
    <sheetView tabSelected="1" zoomScale="75" zoomScaleNormal="75" zoomScalePageLayoutView="0" workbookViewId="0" topLeftCell="A1">
      <selection activeCell="F23" sqref="F23"/>
    </sheetView>
  </sheetViews>
  <sheetFormatPr defaultColWidth="11.57421875" defaultRowHeight="12.75"/>
  <cols>
    <col min="1" max="1" width="12.421875" style="86" customWidth="1"/>
    <col min="2" max="2" width="79.7109375" style="86" customWidth="1"/>
    <col min="3" max="3" width="23.7109375" style="86" customWidth="1"/>
    <col min="4" max="4" width="21.00390625" style="88" customWidth="1"/>
    <col min="5" max="5" width="29.57421875" style="407" customWidth="1"/>
    <col min="6" max="6" width="13.8515625" style="88" customWidth="1"/>
    <col min="7" max="7" width="19.00390625" style="88" customWidth="1"/>
    <col min="8" max="8" width="15.140625" style="88" customWidth="1"/>
    <col min="9" max="9" width="18.00390625" style="88" customWidth="1"/>
    <col min="10" max="10" width="15.140625" style="88" customWidth="1"/>
    <col min="11" max="11" width="15.7109375" style="88" customWidth="1"/>
    <col min="12" max="12" width="11.57421875" style="86" customWidth="1"/>
    <col min="13" max="13" width="13.28125" style="86" bestFit="1" customWidth="1"/>
    <col min="14" max="14" width="11.57421875" style="86" customWidth="1"/>
    <col min="15" max="15" width="13.140625" style="86" bestFit="1" customWidth="1"/>
    <col min="16" max="16384" width="11.57421875" style="86" customWidth="1"/>
  </cols>
  <sheetData>
    <row r="1" spans="1:11" s="89" customFormat="1" ht="18">
      <c r="A1" s="148" t="s">
        <v>278</v>
      </c>
      <c r="B1" s="148"/>
      <c r="C1" s="148"/>
      <c r="D1" s="148"/>
      <c r="E1" s="148"/>
      <c r="F1" s="148"/>
      <c r="G1" s="148"/>
      <c r="H1" s="148"/>
      <c r="I1" s="148"/>
      <c r="J1" s="148"/>
      <c r="K1" s="90"/>
    </row>
    <row r="2" spans="1:11" s="89" customFormat="1" ht="18">
      <c r="A2" s="149" t="s">
        <v>285</v>
      </c>
      <c r="B2" s="149"/>
      <c r="C2" s="149"/>
      <c r="D2" s="149"/>
      <c r="E2" s="149"/>
      <c r="F2" s="149"/>
      <c r="G2" s="149"/>
      <c r="H2" s="149"/>
      <c r="I2" s="149"/>
      <c r="J2" s="149"/>
      <c r="K2" s="90"/>
    </row>
    <row r="3" spans="1:11" s="89" customFormat="1" ht="18">
      <c r="A3" s="149" t="s">
        <v>286</v>
      </c>
      <c r="B3" s="149"/>
      <c r="C3" s="149"/>
      <c r="D3" s="149"/>
      <c r="E3" s="149"/>
      <c r="F3" s="149"/>
      <c r="G3" s="149"/>
      <c r="H3" s="149"/>
      <c r="I3" s="149"/>
      <c r="J3" s="149"/>
      <c r="K3" s="90"/>
    </row>
    <row r="4" spans="1:11" s="89" customFormat="1" ht="18">
      <c r="A4" s="627" t="s">
        <v>349</v>
      </c>
      <c r="B4" s="627"/>
      <c r="C4" s="627"/>
      <c r="D4" s="627"/>
      <c r="E4" s="405"/>
      <c r="F4" s="149"/>
      <c r="G4" s="149"/>
      <c r="H4" s="149"/>
      <c r="I4" s="149"/>
      <c r="J4" s="149"/>
      <c r="K4" s="90"/>
    </row>
    <row r="5" spans="3:5" ht="13.5" thickBot="1">
      <c r="C5" s="364" t="s">
        <v>352</v>
      </c>
      <c r="D5" s="363">
        <v>20.2366</v>
      </c>
      <c r="E5" s="406"/>
    </row>
    <row r="6" spans="1:4" ht="15.75">
      <c r="A6" s="371" t="s">
        <v>59</v>
      </c>
      <c r="B6" s="372" t="s">
        <v>60</v>
      </c>
      <c r="C6" s="373" t="s">
        <v>61</v>
      </c>
      <c r="D6" s="374" t="s">
        <v>62</v>
      </c>
    </row>
    <row r="7" spans="1:5" ht="15">
      <c r="A7" s="193">
        <v>1</v>
      </c>
      <c r="B7" s="100" t="s">
        <v>346</v>
      </c>
      <c r="C7" s="356">
        <f>'Resumen por tipo de Obra'!D22</f>
        <v>323134</v>
      </c>
      <c r="D7" s="375">
        <f>SUM(C7/D5)</f>
        <v>15967.800915173499</v>
      </c>
      <c r="E7" s="642" t="s">
        <v>134</v>
      </c>
    </row>
    <row r="8" spans="1:5" ht="15">
      <c r="A8" s="193">
        <f>A7+1</f>
        <v>2</v>
      </c>
      <c r="B8" s="100" t="s">
        <v>347</v>
      </c>
      <c r="C8" s="356">
        <f>'Resumen por tipo de Obra'!E22</f>
        <v>1271384.8</v>
      </c>
      <c r="D8" s="375">
        <f>C8/D5</f>
        <v>62826.008321556</v>
      </c>
      <c r="E8" s="642"/>
    </row>
    <row r="9" spans="1:5" ht="15.75" customHeight="1">
      <c r="A9" s="193">
        <f>A8+1</f>
        <v>3</v>
      </c>
      <c r="B9" s="100" t="s">
        <v>50</v>
      </c>
      <c r="C9" s="356">
        <f>'Costo Transporte'!F20</f>
        <v>174000</v>
      </c>
      <c r="D9" s="375">
        <f>C9/D5</f>
        <v>8598.282320152595</v>
      </c>
      <c r="E9" s="642"/>
    </row>
    <row r="10" spans="1:5" ht="15.75">
      <c r="A10" s="195"/>
      <c r="B10" s="365" t="s">
        <v>12</v>
      </c>
      <c r="C10" s="415">
        <f>SUM(C7:C9)</f>
        <v>1768518.8</v>
      </c>
      <c r="D10" s="416">
        <f>SUM(D7:D9)</f>
        <v>87392.0915568821</v>
      </c>
      <c r="E10" s="642"/>
    </row>
    <row r="11" spans="1:5" ht="20.25" customHeight="1">
      <c r="A11" s="193">
        <f>A9+1</f>
        <v>4</v>
      </c>
      <c r="B11" s="100" t="s">
        <v>348</v>
      </c>
      <c r="C11" s="356">
        <f>'Deglose de Mano de Obra'!K21</f>
        <v>424428.0948</v>
      </c>
      <c r="D11" s="375">
        <f>SUM(C11/D5)</f>
        <v>20973.29071089017</v>
      </c>
      <c r="E11" s="642"/>
    </row>
    <row r="12" spans="1:5" ht="19.5" customHeight="1">
      <c r="A12" s="193"/>
      <c r="B12" s="365" t="s">
        <v>12</v>
      </c>
      <c r="C12" s="415">
        <f>SUM(C11)</f>
        <v>424428.0948</v>
      </c>
      <c r="D12" s="416">
        <f>SUM(D11)</f>
        <v>20973.29071089017</v>
      </c>
      <c r="E12" s="642"/>
    </row>
    <row r="13" spans="1:4" ht="24.75" customHeight="1">
      <c r="A13" s="193">
        <v>5</v>
      </c>
      <c r="B13" s="350" t="s">
        <v>338</v>
      </c>
      <c r="C13" s="356">
        <f>'Presp Puesto Domiciliar'!I57</f>
        <v>105787</v>
      </c>
      <c r="D13" s="375">
        <f>'Presp Puesto Domiciliar'!I58</f>
        <v>5227.513663362422</v>
      </c>
    </row>
    <row r="14" spans="1:5" ht="24.75" customHeight="1">
      <c r="A14" s="193"/>
      <c r="B14" s="365" t="s">
        <v>12</v>
      </c>
      <c r="C14" s="366">
        <f>SUM(C13)</f>
        <v>105787</v>
      </c>
      <c r="D14" s="376">
        <f>SUM(D13)</f>
        <v>5227.513663362422</v>
      </c>
      <c r="E14" s="578" t="s">
        <v>375</v>
      </c>
    </row>
    <row r="15" spans="1:4" ht="15.75">
      <c r="A15" s="386"/>
      <c r="B15" s="387" t="s">
        <v>357</v>
      </c>
      <c r="C15" s="388">
        <f>+C10+C12+C14</f>
        <v>2298733.8948</v>
      </c>
      <c r="D15" s="389">
        <f>D10+D12+D14</f>
        <v>113592.89593113468</v>
      </c>
    </row>
    <row r="16" spans="1:4" ht="15.75">
      <c r="A16" s="628" t="s">
        <v>276</v>
      </c>
      <c r="B16" s="592"/>
      <c r="C16" s="356"/>
      <c r="D16" s="378"/>
    </row>
    <row r="17" spans="1:5" ht="15">
      <c r="A17" s="193">
        <v>6</v>
      </c>
      <c r="B17" s="379" t="s">
        <v>277</v>
      </c>
      <c r="C17" s="356">
        <f>'Aporte APLV'!C10</f>
        <v>20000</v>
      </c>
      <c r="D17" s="375">
        <f>SUM(C17/D5)</f>
        <v>988.3083126612179</v>
      </c>
      <c r="E17" s="595" t="s">
        <v>449</v>
      </c>
    </row>
    <row r="18" spans="1:5" ht="15">
      <c r="A18" s="193">
        <v>7</v>
      </c>
      <c r="B18" s="379" t="s">
        <v>340</v>
      </c>
      <c r="C18" s="356">
        <f>SUM(D18*D5)</f>
        <v>314274.398</v>
      </c>
      <c r="D18" s="375">
        <v>15530</v>
      </c>
      <c r="E18" s="595"/>
    </row>
    <row r="19" spans="1:5" ht="15.75">
      <c r="A19" s="193">
        <v>8</v>
      </c>
      <c r="B19" s="82" t="s">
        <v>370</v>
      </c>
      <c r="C19" s="356">
        <f>C10*0.05</f>
        <v>88425.94</v>
      </c>
      <c r="D19" s="375">
        <f>SUM(C19/D5)</f>
        <v>4369.604577844105</v>
      </c>
      <c r="E19" s="595"/>
    </row>
    <row r="20" spans="1:5" ht="15.75">
      <c r="A20" s="193"/>
      <c r="B20" s="365" t="s">
        <v>12</v>
      </c>
      <c r="C20" s="415">
        <f>SUM(C17:C19)</f>
        <v>422700.338</v>
      </c>
      <c r="D20" s="416">
        <f>SUM(D17:D19)</f>
        <v>20887.912890505322</v>
      </c>
      <c r="E20" s="595"/>
    </row>
    <row r="21" spans="1:5" ht="15.75">
      <c r="A21" s="380" t="s">
        <v>336</v>
      </c>
      <c r="B21" s="381"/>
      <c r="C21" s="382"/>
      <c r="D21" s="375"/>
      <c r="E21" s="595"/>
    </row>
    <row r="22" spans="1:5" ht="15">
      <c r="A22" s="193">
        <v>9</v>
      </c>
      <c r="B22" s="82" t="s">
        <v>307</v>
      </c>
      <c r="C22" s="358">
        <f>'Aporte APLV'!C15</f>
        <v>0</v>
      </c>
      <c r="D22" s="577">
        <f>SUM(C22/D5)</f>
        <v>0</v>
      </c>
      <c r="E22" s="595"/>
    </row>
    <row r="23" spans="1:5" ht="15">
      <c r="A23" s="193">
        <v>10</v>
      </c>
      <c r="B23" s="87" t="s">
        <v>305</v>
      </c>
      <c r="C23" s="356">
        <f>'Aporte APLV'!C16</f>
        <v>50000</v>
      </c>
      <c r="D23" s="375">
        <f>SUM(C23/D5)</f>
        <v>2470.7707816530447</v>
      </c>
      <c r="E23" s="595"/>
    </row>
    <row r="24" spans="1:5" ht="30.75" customHeight="1">
      <c r="A24" s="193">
        <v>11</v>
      </c>
      <c r="B24" s="194" t="s">
        <v>303</v>
      </c>
      <c r="C24" s="356">
        <f>'Aporte APLV'!C17</f>
        <v>60000</v>
      </c>
      <c r="D24" s="375">
        <f>SUM(C24/D5)</f>
        <v>2964.9249379836533</v>
      </c>
      <c r="E24" s="595"/>
    </row>
    <row r="25" spans="1:5" ht="15">
      <c r="A25" s="193">
        <v>12</v>
      </c>
      <c r="B25" s="82" t="s">
        <v>306</v>
      </c>
      <c r="C25" s="358">
        <f>'Aporte APLV'!C18</f>
        <v>15000</v>
      </c>
      <c r="D25" s="375">
        <f>SUM(C25/D5)</f>
        <v>741.2312344959133</v>
      </c>
      <c r="E25" s="595"/>
    </row>
    <row r="26" spans="1:5" ht="15.75">
      <c r="A26" s="193"/>
      <c r="B26" s="369" t="s">
        <v>12</v>
      </c>
      <c r="C26" s="415">
        <f>SUM(C22:C25)</f>
        <v>125000</v>
      </c>
      <c r="D26" s="416">
        <f>SUM(D22:D25)</f>
        <v>6176.926954132612</v>
      </c>
      <c r="E26" s="595"/>
    </row>
    <row r="27" spans="1:4" ht="15.75">
      <c r="A27" s="386"/>
      <c r="B27" s="387" t="s">
        <v>356</v>
      </c>
      <c r="C27" s="388">
        <f>SUM(C26+C20)</f>
        <v>547700.338</v>
      </c>
      <c r="D27" s="389">
        <f>SUM(C27/D5)</f>
        <v>27064.839844637932</v>
      </c>
    </row>
    <row r="28" spans="1:4" ht="29.25" customHeight="1">
      <c r="A28" s="377"/>
      <c r="B28" s="357" t="s">
        <v>358</v>
      </c>
      <c r="C28" s="368">
        <f>SUM(C15+C27)</f>
        <v>2846434.2328</v>
      </c>
      <c r="D28" s="383">
        <f>SUM(C28/D5)</f>
        <v>140657.7306859848</v>
      </c>
    </row>
    <row r="29" spans="1:4" ht="15" customHeight="1">
      <c r="A29" s="593" t="s">
        <v>354</v>
      </c>
      <c r="B29" s="594"/>
      <c r="D29" s="385"/>
    </row>
    <row r="30" spans="1:5" ht="15.75">
      <c r="A30" s="193">
        <v>13</v>
      </c>
      <c r="B30" s="100" t="s">
        <v>302</v>
      </c>
      <c r="C30" s="384">
        <f>'[2]consol global de Let.'!$C$10</f>
        <v>474314.39</v>
      </c>
      <c r="D30" s="376">
        <f>'[2]consol global de Let.'!$D$10</f>
        <v>22770.734037445993</v>
      </c>
      <c r="E30" s="626" t="s">
        <v>457</v>
      </c>
    </row>
    <row r="31" spans="1:5" ht="15.75">
      <c r="A31" s="193">
        <v>14</v>
      </c>
      <c r="B31" s="100" t="s">
        <v>304</v>
      </c>
      <c r="C31" s="366">
        <f>'APORTE PWE'!G14</f>
        <v>150000</v>
      </c>
      <c r="D31" s="376">
        <f>SUM(C31/D5)</f>
        <v>7412.312344959134</v>
      </c>
      <c r="E31" s="626"/>
    </row>
    <row r="32" spans="1:5" ht="15.75">
      <c r="A32" s="386"/>
      <c r="B32" s="387" t="s">
        <v>355</v>
      </c>
      <c r="C32" s="388">
        <f>SUM(C30:C31)</f>
        <v>624314.39</v>
      </c>
      <c r="D32" s="389">
        <f>SUM(D30:D31)</f>
        <v>30183.046382405126</v>
      </c>
      <c r="E32" s="408"/>
    </row>
    <row r="33" spans="1:4" ht="27.75" customHeight="1" thickBot="1">
      <c r="A33" s="402"/>
      <c r="B33" s="403" t="s">
        <v>341</v>
      </c>
      <c r="C33" s="404">
        <f>C15+C27+C32</f>
        <v>3470748.6228</v>
      </c>
      <c r="D33" s="425">
        <f>SUM(C33/D5)</f>
        <v>171508.48575353567</v>
      </c>
    </row>
    <row r="34" spans="1:4" ht="13.5" thickTop="1">
      <c r="A34"/>
      <c r="B34"/>
      <c r="C34"/>
      <c r="D34"/>
    </row>
    <row r="35" spans="1:4" ht="18.75" thickBot="1">
      <c r="A35" s="426"/>
      <c r="B35" s="428" t="s">
        <v>371</v>
      </c>
      <c r="C35" s="404">
        <f>'Aporte Comunidad'!F31</f>
        <v>1234796.6</v>
      </c>
      <c r="D35" s="417">
        <f>'Aporte Comunidad'!G31</f>
        <v>61017.98721129044</v>
      </c>
    </row>
    <row r="36" ht="14.25" thickBot="1" thickTop="1"/>
    <row r="37" spans="1:4" ht="27.75" customHeight="1" thickBot="1">
      <c r="A37" s="422"/>
      <c r="B37" s="427" t="s">
        <v>372</v>
      </c>
      <c r="C37" s="423">
        <f>SUM(C33:C35)</f>
        <v>4705545.2228</v>
      </c>
      <c r="D37" s="424">
        <f>SUM(D33:D35)</f>
        <v>232526.4729648261</v>
      </c>
    </row>
    <row r="38" spans="1:4" ht="6" customHeight="1" thickBot="1" thickTop="1">
      <c r="A38" s="420"/>
      <c r="B38" s="421"/>
      <c r="C38" s="418"/>
      <c r="D38" s="419"/>
    </row>
    <row r="39" ht="13.5" thickTop="1"/>
  </sheetData>
  <sheetProtection/>
  <mergeCells count="6">
    <mergeCell ref="E30:E31"/>
    <mergeCell ref="A4:D4"/>
    <mergeCell ref="A16:B16"/>
    <mergeCell ref="A29:B29"/>
    <mergeCell ref="E17:E26"/>
    <mergeCell ref="E7:E12"/>
  </mergeCells>
  <printOptions horizontalCentered="1"/>
  <pageMargins left="0.4724409448818898" right="0.15748031496062992" top="0.2362204724409449" bottom="0.15748031496062992" header="0.2362204724409449" footer="0.15748031496062992"/>
  <pageSetup horizontalDpi="180" verticalDpi="18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8"/>
  </sheetPr>
  <dimension ref="A1:K20"/>
  <sheetViews>
    <sheetView workbookViewId="0" topLeftCell="A4">
      <selection activeCell="F11" sqref="F11"/>
    </sheetView>
  </sheetViews>
  <sheetFormatPr defaultColWidth="11.421875" defaultRowHeight="12.75"/>
  <cols>
    <col min="1" max="1" width="6.421875" style="0" customWidth="1"/>
    <col min="2" max="2" width="27.7109375" style="0" customWidth="1"/>
    <col min="3" max="3" width="55.00390625" style="0" customWidth="1"/>
    <col min="5" max="5" width="20.421875" style="0" customWidth="1"/>
    <col min="6" max="6" width="17.28125" style="0" customWidth="1"/>
  </cols>
  <sheetData>
    <row r="1" spans="1:11" ht="18">
      <c r="A1" s="597" t="s">
        <v>278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</row>
    <row r="2" spans="1:11" ht="15.75">
      <c r="A2" s="621" t="s">
        <v>283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</row>
    <row r="3" spans="1:11" ht="15.75">
      <c r="A3" s="621" t="s">
        <v>284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</row>
    <row r="5" spans="1:8" ht="15.75">
      <c r="A5" s="589" t="s">
        <v>345</v>
      </c>
      <c r="B5" s="589"/>
      <c r="C5" s="589"/>
      <c r="D5" s="589"/>
      <c r="E5" s="589"/>
      <c r="F5" s="589"/>
      <c r="G5" s="589"/>
      <c r="H5" s="589"/>
    </row>
    <row r="6" spans="1:8" s="1" customFormat="1" ht="15.75">
      <c r="A6" s="601" t="s">
        <v>308</v>
      </c>
      <c r="B6" s="601"/>
      <c r="C6" s="601"/>
      <c r="D6" s="601"/>
      <c r="E6" s="601"/>
      <c r="F6" s="601"/>
      <c r="G6" s="601"/>
      <c r="H6" s="601"/>
    </row>
    <row r="8" spans="1:7" ht="15.75" thickBot="1">
      <c r="A8" s="197"/>
      <c r="F8" s="175" t="s">
        <v>314</v>
      </c>
      <c r="G8" s="10">
        <v>20.2366</v>
      </c>
    </row>
    <row r="9" spans="1:6" s="2" customFormat="1" ht="32.25" thickBot="1">
      <c r="A9" s="351" t="s">
        <v>298</v>
      </c>
      <c r="B9" s="352" t="s">
        <v>342</v>
      </c>
      <c r="C9" s="352" t="s">
        <v>343</v>
      </c>
      <c r="D9" s="352" t="s">
        <v>135</v>
      </c>
      <c r="E9" s="353" t="s">
        <v>309</v>
      </c>
      <c r="F9" s="354" t="s">
        <v>310</v>
      </c>
    </row>
    <row r="10" spans="1:7" s="2" customFormat="1" ht="49.5" customHeight="1" thickBot="1">
      <c r="A10" s="355">
        <v>1</v>
      </c>
      <c r="B10" s="434" t="s">
        <v>134</v>
      </c>
      <c r="C10" s="349" t="s">
        <v>344</v>
      </c>
      <c r="D10" s="435">
        <f>E10/'COSTO TOTAL PROY'!C37*100%</f>
        <v>0.39815251710303895</v>
      </c>
      <c r="E10" s="219">
        <f>'Aporte Japon'!H23</f>
        <v>1873524.6748000002</v>
      </c>
      <c r="F10" s="220">
        <f>SUM(E10/G8)</f>
        <v>92581.00050403725</v>
      </c>
      <c r="G10" s="586" t="s">
        <v>453</v>
      </c>
    </row>
    <row r="11" spans="1:6" s="2" customFormat="1" ht="49.5" customHeight="1" thickBot="1">
      <c r="A11" s="430">
        <v>2</v>
      </c>
      <c r="B11" s="434" t="s">
        <v>363</v>
      </c>
      <c r="C11" s="350" t="s">
        <v>364</v>
      </c>
      <c r="D11" s="435"/>
      <c r="E11" s="221">
        <f>'Aporte APLV'!C21</f>
        <v>547700.338</v>
      </c>
      <c r="F11" s="222">
        <f>'Aporte APLV'!D21</f>
        <v>27292.839844637936</v>
      </c>
    </row>
    <row r="12" spans="1:6" s="2" customFormat="1" ht="30" customHeight="1" thickBot="1">
      <c r="A12" s="430">
        <v>3</v>
      </c>
      <c r="B12" s="434" t="s">
        <v>311</v>
      </c>
      <c r="C12" s="350" t="s">
        <v>365</v>
      </c>
      <c r="D12" s="435">
        <f>E12/'COSTO TOTAL PROY'!C37*100%</f>
        <v>0.07437238054887024</v>
      </c>
      <c r="E12" s="221">
        <f>'Aporte Alcaldia'!F22</f>
        <v>349962.6</v>
      </c>
      <c r="F12" s="222">
        <f>E12/G8</f>
        <v>17293.547335026633</v>
      </c>
    </row>
    <row r="13" spans="1:8" s="2" customFormat="1" ht="30" customHeight="1" thickBot="1">
      <c r="A13" s="430">
        <v>4</v>
      </c>
      <c r="B13" s="434" t="s">
        <v>312</v>
      </c>
      <c r="C13" s="350" t="s">
        <v>365</v>
      </c>
      <c r="D13" s="435">
        <f>E13/'COSTO TOTAL PROY'!C37*100%</f>
        <v>0.02150186539696983</v>
      </c>
      <c r="E13" s="221">
        <f>'Aporte HPLS'!F22</f>
        <v>101178</v>
      </c>
      <c r="F13" s="222">
        <f>SUM(E13/G8)</f>
        <v>4999.752922921835</v>
      </c>
      <c r="G13" s="429"/>
      <c r="H13" s="429"/>
    </row>
    <row r="14" spans="1:8" s="2" customFormat="1" ht="30" customHeight="1">
      <c r="A14" s="430">
        <v>5</v>
      </c>
      <c r="B14" s="434" t="s">
        <v>362</v>
      </c>
      <c r="C14" s="350" t="s">
        <v>366</v>
      </c>
      <c r="D14" s="435">
        <f>E14/'COSTO TOTAL PROY'!C37*100%</f>
        <v>0.26241307681349696</v>
      </c>
      <c r="E14" s="221">
        <f>'Aporte Comunidad'!F31</f>
        <v>1234796.6</v>
      </c>
      <c r="F14" s="222">
        <f>SUM(E14/G8)</f>
        <v>61017.98721129044</v>
      </c>
      <c r="G14" s="429"/>
      <c r="H14" s="429"/>
    </row>
    <row r="15" spans="1:8" s="2" customFormat="1" ht="30" customHeight="1" thickBot="1">
      <c r="A15" s="431"/>
      <c r="B15" s="596" t="s">
        <v>136</v>
      </c>
      <c r="C15" s="596"/>
      <c r="D15" s="436">
        <f>SUM(D10:D14)</f>
        <v>0.756439839862376</v>
      </c>
      <c r="E15" s="432">
        <f>SUM(E10:E13)</f>
        <v>2872365.6128000002</v>
      </c>
      <c r="F15" s="433">
        <f>SUM(F10:F14)</f>
        <v>203185.12781791412</v>
      </c>
      <c r="G15" s="429"/>
      <c r="H15" s="429"/>
    </row>
    <row r="16" spans="5:8" ht="12.75">
      <c r="E16" s="218"/>
      <c r="F16" s="218"/>
      <c r="H16" s="212"/>
    </row>
    <row r="18" ht="12.75">
      <c r="F18" s="212"/>
    </row>
    <row r="19" ht="12.75">
      <c r="F19" s="212"/>
    </row>
    <row r="20" ht="15">
      <c r="C20" s="348"/>
    </row>
  </sheetData>
  <mergeCells count="6">
    <mergeCell ref="B15:C15"/>
    <mergeCell ref="A6:H6"/>
    <mergeCell ref="A1:K1"/>
    <mergeCell ref="A2:K2"/>
    <mergeCell ref="A3:K3"/>
    <mergeCell ref="A5:H5"/>
  </mergeCells>
  <printOptions horizontalCentered="1" verticalCentered="1"/>
  <pageMargins left="0.9055118110236221" right="0.15748031496062992" top="0.3937007874015748" bottom="0.3937007874015748" header="0" footer="0"/>
  <pageSetup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K33"/>
  <sheetViews>
    <sheetView workbookViewId="0" topLeftCell="C4">
      <selection activeCell="G27" sqref="G27"/>
    </sheetView>
  </sheetViews>
  <sheetFormatPr defaultColWidth="11.57421875" defaultRowHeight="12.75"/>
  <cols>
    <col min="1" max="1" width="10.28125" style="1" customWidth="1"/>
    <col min="2" max="2" width="60.140625" style="1" customWidth="1"/>
    <col min="3" max="4" width="17.28125" style="1" customWidth="1"/>
    <col min="5" max="5" width="19.28125" style="1" customWidth="1"/>
    <col min="6" max="6" width="16.7109375" style="1" customWidth="1"/>
    <col min="7" max="7" width="15.57421875" style="1" customWidth="1"/>
    <col min="8" max="8" width="16.8515625" style="1" customWidth="1"/>
    <col min="9" max="9" width="16.57421875" style="1" customWidth="1"/>
    <col min="10" max="16384" width="11.57421875" style="1" customWidth="1"/>
  </cols>
  <sheetData>
    <row r="1" spans="1:10" ht="15.75">
      <c r="A1" s="621" t="s">
        <v>278</v>
      </c>
      <c r="B1" s="621"/>
      <c r="C1" s="621"/>
      <c r="D1" s="621"/>
      <c r="E1" s="621"/>
      <c r="F1" s="621"/>
      <c r="G1" s="621"/>
      <c r="H1" s="621"/>
      <c r="I1" s="621"/>
      <c r="J1" s="621"/>
    </row>
    <row r="2" spans="1:10" ht="15.75">
      <c r="A2" s="621" t="s">
        <v>283</v>
      </c>
      <c r="B2" s="621"/>
      <c r="C2" s="621"/>
      <c r="D2" s="621"/>
      <c r="E2" s="621"/>
      <c r="F2" s="621"/>
      <c r="G2" s="621"/>
      <c r="H2" s="621"/>
      <c r="I2" s="621"/>
      <c r="J2" s="621"/>
    </row>
    <row r="3" spans="1:10" ht="15.75">
      <c r="A3" s="621" t="s">
        <v>284</v>
      </c>
      <c r="B3" s="621"/>
      <c r="C3" s="621"/>
      <c r="D3" s="621"/>
      <c r="E3" s="621"/>
      <c r="F3" s="621"/>
      <c r="G3" s="621"/>
      <c r="H3" s="621"/>
      <c r="I3" s="621"/>
      <c r="J3" s="621"/>
    </row>
    <row r="4" spans="1:9" ht="15.75">
      <c r="A4" s="601" t="s">
        <v>300</v>
      </c>
      <c r="B4" s="601"/>
      <c r="C4" s="601"/>
      <c r="D4" s="601"/>
      <c r="E4" s="601"/>
      <c r="F4" s="601"/>
      <c r="G4" s="601"/>
      <c r="H4" s="601"/>
      <c r="I4" s="601"/>
    </row>
    <row r="5" spans="1:9" s="4" customFormat="1" ht="15.75" customHeight="1">
      <c r="A5" s="625"/>
      <c r="B5" s="625"/>
      <c r="C5" s="625"/>
      <c r="D5" s="625"/>
      <c r="E5" s="625"/>
      <c r="F5" s="625"/>
      <c r="G5" s="625"/>
      <c r="H5" s="625"/>
      <c r="I5" s="625"/>
    </row>
    <row r="6" spans="1:8" s="4" customFormat="1" ht="19.5" customHeight="1" thickBot="1">
      <c r="A6" s="3"/>
      <c r="D6" s="624" t="s">
        <v>257</v>
      </c>
      <c r="E6" s="624"/>
      <c r="F6" s="72"/>
      <c r="G6" s="72"/>
      <c r="H6" s="10">
        <v>20.2366</v>
      </c>
    </row>
    <row r="7" spans="1:9" s="2" customFormat="1" ht="31.5">
      <c r="A7" s="93" t="s">
        <v>258</v>
      </c>
      <c r="B7" s="94" t="s">
        <v>1</v>
      </c>
      <c r="C7" s="95" t="s">
        <v>287</v>
      </c>
      <c r="D7" s="96" t="s">
        <v>6</v>
      </c>
      <c r="E7" s="96" t="s">
        <v>58</v>
      </c>
      <c r="F7" s="96" t="s">
        <v>266</v>
      </c>
      <c r="G7" s="96" t="s">
        <v>50</v>
      </c>
      <c r="H7" s="95" t="s">
        <v>61</v>
      </c>
      <c r="I7" s="97" t="s">
        <v>313</v>
      </c>
    </row>
    <row r="8" spans="1:9" s="2" customFormat="1" ht="15.75">
      <c r="A8" s="622" t="s">
        <v>282</v>
      </c>
      <c r="B8" s="623"/>
      <c r="C8" s="98"/>
      <c r="D8" s="401"/>
      <c r="E8" s="401"/>
      <c r="F8" s="401"/>
      <c r="G8" s="590"/>
      <c r="H8" s="283"/>
      <c r="I8" s="284"/>
    </row>
    <row r="9" spans="1:10" s="2" customFormat="1" ht="15">
      <c r="A9" s="99">
        <v>1</v>
      </c>
      <c r="B9" s="100" t="s">
        <v>268</v>
      </c>
      <c r="C9" s="101">
        <v>1</v>
      </c>
      <c r="D9" s="33">
        <f>'Resumen por tipo de Obra'!D9</f>
        <v>97398</v>
      </c>
      <c r="E9" s="33">
        <f>'Resumen por tipo de Obra'!E9</f>
        <v>4480.38</v>
      </c>
      <c r="F9" s="33"/>
      <c r="G9" s="591"/>
      <c r="H9" s="33">
        <f>SUM(D9:E9)</f>
        <v>101878.38</v>
      </c>
      <c r="I9" s="33">
        <f>SUM(H9/H6)</f>
        <v>5034.362491722918</v>
      </c>
      <c r="J9" s="77"/>
    </row>
    <row r="10" spans="1:10" s="2" customFormat="1" ht="15">
      <c r="A10" s="99">
        <v>2</v>
      </c>
      <c r="B10" s="100" t="s">
        <v>267</v>
      </c>
      <c r="C10" s="101">
        <v>2</v>
      </c>
      <c r="D10" s="33">
        <f>'Resumen por tipo de Obra'!D10</f>
        <v>11680</v>
      </c>
      <c r="E10" s="33">
        <f>'Resumen por tipo de Obra'!E10</f>
        <v>2375</v>
      </c>
      <c r="F10" s="33"/>
      <c r="G10" s="591"/>
      <c r="H10" s="33">
        <f>SUM(D10:E10)</f>
        <v>14055</v>
      </c>
      <c r="I10" s="33">
        <f>SUM(H10/H6)</f>
        <v>694.5336667226708</v>
      </c>
      <c r="J10" s="77"/>
    </row>
    <row r="11" spans="1:10" s="2" customFormat="1" ht="15">
      <c r="A11" s="99">
        <v>3</v>
      </c>
      <c r="B11" s="100" t="s">
        <v>183</v>
      </c>
      <c r="C11" s="102" t="s">
        <v>186</v>
      </c>
      <c r="D11" s="33">
        <v>0</v>
      </c>
      <c r="E11" s="33">
        <f>'Presp por tipo Obra General'!F76+'Presp por tipo Obra General'!F80</f>
        <v>165391.41</v>
      </c>
      <c r="F11" s="33"/>
      <c r="G11" s="591"/>
      <c r="H11" s="33">
        <f>SUM(E11:F11)</f>
        <v>165391.41</v>
      </c>
      <c r="I11" s="33">
        <f>SUM(H11/H6)</f>
        <v>8172.885267287984</v>
      </c>
      <c r="J11" s="77"/>
    </row>
    <row r="12" spans="1:10" s="2" customFormat="1" ht="15">
      <c r="A12" s="99">
        <v>4</v>
      </c>
      <c r="B12" s="100" t="s">
        <v>184</v>
      </c>
      <c r="C12" s="102" t="s">
        <v>187</v>
      </c>
      <c r="D12" s="33">
        <v>0</v>
      </c>
      <c r="E12" s="33">
        <f>'Detalle por Obra pJAPON'!F34</f>
        <v>25088.6</v>
      </c>
      <c r="F12" s="33"/>
      <c r="G12" s="591"/>
      <c r="H12" s="33">
        <f>SUM(E12:F12)</f>
        <v>25088.6</v>
      </c>
      <c r="I12" s="33">
        <f>SUM(H12/H6)</f>
        <v>1239.7635966516114</v>
      </c>
      <c r="J12" s="77"/>
    </row>
    <row r="13" spans="1:10" s="2" customFormat="1" ht="15">
      <c r="A13" s="99">
        <v>5</v>
      </c>
      <c r="B13" s="100" t="s">
        <v>188</v>
      </c>
      <c r="C13" s="102" t="s">
        <v>189</v>
      </c>
      <c r="D13" s="33">
        <v>0</v>
      </c>
      <c r="E13" s="33">
        <f>'Presp por tipo Obra General'!F98+'Presp por tipo Obra General'!F102</f>
        <v>214034.32</v>
      </c>
      <c r="F13" s="33"/>
      <c r="G13" s="591"/>
      <c r="H13" s="33">
        <f>SUM(D13:F13)</f>
        <v>214034.32</v>
      </c>
      <c r="I13" s="33">
        <f>SUM(H13/H6)</f>
        <v>10576.594882539557</v>
      </c>
      <c r="J13" s="77"/>
    </row>
    <row r="14" spans="1:10" s="2" customFormat="1" ht="15">
      <c r="A14" s="84">
        <v>6</v>
      </c>
      <c r="B14" s="82" t="s">
        <v>269</v>
      </c>
      <c r="C14" s="85" t="s">
        <v>259</v>
      </c>
      <c r="D14" s="33">
        <v>0</v>
      </c>
      <c r="E14" s="33">
        <f>'Presp por tipo Obra General'!F111</f>
        <v>90715.16</v>
      </c>
      <c r="F14" s="33"/>
      <c r="G14" s="591"/>
      <c r="H14" s="33">
        <f aca="true" t="shared" si="0" ref="H14:H20">SUM(D14:E14)</f>
        <v>90715.16</v>
      </c>
      <c r="I14" s="33">
        <f>SUM(H14/H6)</f>
        <v>4482.72733561962</v>
      </c>
      <c r="J14" s="77"/>
    </row>
    <row r="15" spans="1:10" s="2" customFormat="1" ht="15">
      <c r="A15" s="84">
        <v>7</v>
      </c>
      <c r="B15" s="82" t="s">
        <v>323</v>
      </c>
      <c r="C15" s="85" t="s">
        <v>259</v>
      </c>
      <c r="D15" s="33"/>
      <c r="E15" s="33">
        <v>0</v>
      </c>
      <c r="F15" s="33"/>
      <c r="G15" s="591"/>
      <c r="H15" s="33">
        <f t="shared" si="0"/>
        <v>0</v>
      </c>
      <c r="I15" s="33">
        <f>SUM(H15/H6)</f>
        <v>0</v>
      </c>
      <c r="J15" s="77"/>
    </row>
    <row r="16" spans="1:10" s="2" customFormat="1" ht="15">
      <c r="A16" s="84">
        <v>8</v>
      </c>
      <c r="B16" s="82" t="s">
        <v>331</v>
      </c>
      <c r="C16" s="85" t="s">
        <v>332</v>
      </c>
      <c r="D16" s="33"/>
      <c r="E16" s="33"/>
      <c r="F16" s="33"/>
      <c r="G16" s="591"/>
      <c r="H16" s="33"/>
      <c r="I16" s="33"/>
      <c r="J16" s="77"/>
    </row>
    <row r="17" spans="1:10" s="2" customFormat="1" ht="15">
      <c r="A17" s="84">
        <v>9</v>
      </c>
      <c r="B17" s="82" t="s">
        <v>272</v>
      </c>
      <c r="C17" s="85">
        <v>5</v>
      </c>
      <c r="D17" s="33">
        <v>0</v>
      </c>
      <c r="E17" s="33"/>
      <c r="F17" s="33"/>
      <c r="G17" s="591"/>
      <c r="H17" s="33">
        <f t="shared" si="0"/>
        <v>0</v>
      </c>
      <c r="I17" s="33">
        <f>SUM(H17/H6)</f>
        <v>0</v>
      </c>
      <c r="J17" s="77"/>
    </row>
    <row r="18" spans="1:10" s="2" customFormat="1" ht="15">
      <c r="A18" s="84">
        <v>10</v>
      </c>
      <c r="B18" s="82" t="s">
        <v>273</v>
      </c>
      <c r="C18" s="85">
        <v>4</v>
      </c>
      <c r="D18" s="33">
        <v>0</v>
      </c>
      <c r="E18" s="33">
        <v>0</v>
      </c>
      <c r="F18" s="33"/>
      <c r="G18" s="591"/>
      <c r="H18" s="33">
        <f t="shared" si="0"/>
        <v>0</v>
      </c>
      <c r="I18" s="33">
        <f>SUM(H18/H6)</f>
        <v>0</v>
      </c>
      <c r="J18" s="77"/>
    </row>
    <row r="19" spans="1:10" s="2" customFormat="1" ht="15">
      <c r="A19" s="99">
        <v>11</v>
      </c>
      <c r="B19" s="100" t="s">
        <v>270</v>
      </c>
      <c r="C19" s="102" t="s">
        <v>253</v>
      </c>
      <c r="D19" s="33">
        <f>'Resumen por tipo de Obra'!D19</f>
        <v>122620</v>
      </c>
      <c r="E19" s="33">
        <f>'Resumen por tipo de Obra'!E19</f>
        <v>8236</v>
      </c>
      <c r="F19" s="33"/>
      <c r="G19" s="591"/>
      <c r="H19" s="33">
        <f>SUM(D19:F19)</f>
        <v>130856</v>
      </c>
      <c r="I19" s="33">
        <f>SUM(H19/H6)</f>
        <v>6466.303628079816</v>
      </c>
      <c r="J19" s="77"/>
    </row>
    <row r="20" spans="1:10" s="2" customFormat="1" ht="15">
      <c r="A20" s="99">
        <v>12</v>
      </c>
      <c r="B20" s="100" t="s">
        <v>271</v>
      </c>
      <c r="C20" s="102" t="s">
        <v>255</v>
      </c>
      <c r="D20" s="33">
        <v>0</v>
      </c>
      <c r="E20" s="33">
        <f>'Presp por tipo Obra General'!F195+'Presp por tipo Obra General'!F223</f>
        <v>533077.71</v>
      </c>
      <c r="F20" s="33"/>
      <c r="G20" s="591"/>
      <c r="H20" s="33">
        <f t="shared" si="0"/>
        <v>533077.71</v>
      </c>
      <c r="I20" s="33">
        <f>SUM(H20/H6)</f>
        <v>26342.256604370297</v>
      </c>
      <c r="J20" s="77"/>
    </row>
    <row r="21" spans="1:10" s="2" customFormat="1" ht="15">
      <c r="A21" s="103">
        <v>13</v>
      </c>
      <c r="B21" s="100" t="s">
        <v>274</v>
      </c>
      <c r="C21" s="102">
        <v>109</v>
      </c>
      <c r="D21" s="33">
        <v>0</v>
      </c>
      <c r="E21" s="33">
        <v>0</v>
      </c>
      <c r="F21" s="33"/>
      <c r="G21" s="629"/>
      <c r="H21" s="33">
        <f>SUM(F21)</f>
        <v>0</v>
      </c>
      <c r="I21" s="33">
        <f>SUM(H21/H6)</f>
        <v>0</v>
      </c>
      <c r="J21" s="77"/>
    </row>
    <row r="22" spans="1:11" s="2" customFormat="1" ht="16.5" thickBot="1">
      <c r="A22" s="103">
        <v>14</v>
      </c>
      <c r="B22" s="104" t="s">
        <v>279</v>
      </c>
      <c r="C22" s="105"/>
      <c r="D22" s="286">
        <v>0</v>
      </c>
      <c r="E22" s="286">
        <v>0</v>
      </c>
      <c r="F22" s="286">
        <f>'Deglose de Mano de Obra'!K21</f>
        <v>424428.0948</v>
      </c>
      <c r="G22" s="286">
        <v>174000</v>
      </c>
      <c r="H22" s="286">
        <f>SUM(F22:G22)</f>
        <v>598428.0948000001</v>
      </c>
      <c r="I22" s="286">
        <f>SUM(H22/H6)</f>
        <v>29571.573031042768</v>
      </c>
      <c r="J22" s="77"/>
      <c r="K22" s="58"/>
    </row>
    <row r="23" spans="1:11" s="2" customFormat="1" ht="23.25" customHeight="1" thickBot="1" thickTop="1">
      <c r="A23" s="198"/>
      <c r="B23" s="618" t="s">
        <v>299</v>
      </c>
      <c r="C23" s="619"/>
      <c r="D23" s="91">
        <f>SUM(D9:D22)</f>
        <v>231698</v>
      </c>
      <c r="E23" s="91">
        <f>SUM(E8:E22)</f>
        <v>1043398.58</v>
      </c>
      <c r="F23" s="91">
        <f>'Deglose de Mano de Obra'!K21</f>
        <v>424428.0948</v>
      </c>
      <c r="G23" s="91">
        <f>SUM(G9:G22)</f>
        <v>174000</v>
      </c>
      <c r="H23" s="91">
        <f>SUM(H9:H22)</f>
        <v>1873524.6748000002</v>
      </c>
      <c r="I23" s="122">
        <f>SUM(I9:I22)</f>
        <v>92581.00050403725</v>
      </c>
      <c r="J23" s="48"/>
      <c r="K23" s="106"/>
    </row>
    <row r="24" spans="4:11" s="4" customFormat="1" ht="13.5" thickTop="1">
      <c r="D24" s="281"/>
      <c r="E24" s="5"/>
      <c r="F24" s="5"/>
      <c r="G24" s="5"/>
      <c r="H24" s="5"/>
      <c r="I24" s="4">
        <v>2800</v>
      </c>
      <c r="K24" s="107"/>
    </row>
    <row r="25" spans="3:10" s="4" customFormat="1" ht="12.75">
      <c r="C25" s="108"/>
      <c r="D25" s="5"/>
      <c r="E25" s="5"/>
      <c r="F25" s="5"/>
      <c r="G25" s="5"/>
      <c r="H25" s="587" t="s">
        <v>454</v>
      </c>
      <c r="I25" s="588">
        <f>SUM(I23:I24)</f>
        <v>95381.00050403725</v>
      </c>
      <c r="J25" s="107"/>
    </row>
    <row r="26" spans="3:9" s="4" customFormat="1" ht="12.75">
      <c r="C26" s="109"/>
      <c r="D26" s="110"/>
      <c r="E26" s="5"/>
      <c r="F26" s="5"/>
      <c r="G26" s="5"/>
      <c r="H26" s="111"/>
      <c r="I26" s="107"/>
    </row>
    <row r="27" spans="1:9" ht="15.75">
      <c r="A27" s="4"/>
      <c r="B27" s="4"/>
      <c r="C27" s="112"/>
      <c r="D27" s="215"/>
      <c r="E27" s="296"/>
      <c r="F27" s="296"/>
      <c r="G27" s="296"/>
      <c r="H27" s="296"/>
      <c r="I27" s="297"/>
    </row>
    <row r="28" spans="1:9" s="4" customFormat="1" ht="15">
      <c r="A28" s="1"/>
      <c r="B28" s="1"/>
      <c r="C28" s="114"/>
      <c r="D28" s="115"/>
      <c r="E28" s="16"/>
      <c r="F28" s="16"/>
      <c r="G28" s="16"/>
      <c r="H28" s="1"/>
      <c r="I28" s="116"/>
    </row>
    <row r="29" spans="1:9" ht="15.75">
      <c r="A29" s="4"/>
      <c r="B29" s="4"/>
      <c r="C29" s="4"/>
      <c r="D29" s="117"/>
      <c r="E29" s="5"/>
      <c r="F29" s="5"/>
      <c r="G29" s="5"/>
      <c r="H29" s="118"/>
      <c r="I29" s="119"/>
    </row>
    <row r="30" spans="4:9" ht="12.75">
      <c r="D30" s="115"/>
      <c r="E30" s="16"/>
      <c r="F30" s="16"/>
      <c r="G30" s="16"/>
      <c r="H30" s="15"/>
      <c r="I30" s="113"/>
    </row>
    <row r="31" spans="4:9" ht="12.75">
      <c r="D31" s="120"/>
      <c r="E31" s="16"/>
      <c r="F31" s="16"/>
      <c r="G31" s="16"/>
      <c r="I31" s="121"/>
    </row>
    <row r="32" spans="5:7" ht="12.75">
      <c r="E32" s="16"/>
      <c r="F32" s="16"/>
      <c r="G32" s="16"/>
    </row>
    <row r="33" spans="5:7" ht="12.75">
      <c r="E33" s="16"/>
      <c r="F33" s="16"/>
      <c r="G33" s="16"/>
    </row>
  </sheetData>
  <sheetProtection/>
  <mergeCells count="9">
    <mergeCell ref="B23:C23"/>
    <mergeCell ref="A4:I4"/>
    <mergeCell ref="A1:J1"/>
    <mergeCell ref="A2:J2"/>
    <mergeCell ref="A3:J3"/>
    <mergeCell ref="G8:G21"/>
    <mergeCell ref="A8:B8"/>
    <mergeCell ref="D6:E6"/>
    <mergeCell ref="A5:I5"/>
  </mergeCells>
  <printOptions horizontalCentered="1" verticalCentered="1"/>
  <pageMargins left="0.32" right="0.3" top="0.8661417322834646" bottom="0.984251968503937" header="0.5118110236220472" footer="0.5905511811023623"/>
  <pageSetup horizontalDpi="180" verticalDpi="180" orientation="landscape" scale="70" r:id="rId1"/>
  <headerFooter alignWithMargins="0">
    <oddHeader>&amp;LProyecto de Agua Potable
Estudio de Factibilidad 2008&amp;RComunidad Mongallo/Negrowas
Municipio Siuna RAAN
</oddHeader>
    <oddFooter>&amp;L&amp;F
&amp;D
&amp;C&amp;P&amp;R APLV -Rio Blanco</oddFooter>
  </headerFooter>
  <ignoredErrors>
    <ignoredError sqref="H17:H18" formulaRange="1"/>
    <ignoredError sqref="H1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</sheetPr>
  <dimension ref="A1:J42"/>
  <sheetViews>
    <sheetView zoomScale="90" zoomScaleNormal="90" zoomScalePageLayoutView="0" workbookViewId="0" topLeftCell="A16">
      <selection activeCell="I16" sqref="I16"/>
    </sheetView>
  </sheetViews>
  <sheetFormatPr defaultColWidth="11.421875" defaultRowHeight="12.75"/>
  <cols>
    <col min="1" max="1" width="11.8515625" style="2" customWidth="1"/>
    <col min="2" max="2" width="53.57421875" style="2" customWidth="1"/>
    <col min="3" max="3" width="14.57421875" style="2" customWidth="1"/>
    <col min="4" max="4" width="14.140625" style="2" customWidth="1"/>
    <col min="5" max="5" width="22.00390625" style="2" customWidth="1"/>
    <col min="6" max="6" width="15.8515625" style="2" customWidth="1"/>
    <col min="7" max="7" width="12.8515625" style="2" customWidth="1"/>
    <col min="8" max="16384" width="11.421875" style="2" customWidth="1"/>
  </cols>
  <sheetData>
    <row r="1" spans="1:10" ht="15.75">
      <c r="A1" s="621" t="s">
        <v>278</v>
      </c>
      <c r="B1" s="621"/>
      <c r="C1" s="621"/>
      <c r="D1" s="621"/>
      <c r="E1" s="621"/>
      <c r="F1" s="621"/>
      <c r="G1" s="621"/>
      <c r="H1" s="621"/>
      <c r="I1" s="621"/>
      <c r="J1" s="621"/>
    </row>
    <row r="2" spans="1:10" ht="15.75">
      <c r="A2" s="621" t="s">
        <v>283</v>
      </c>
      <c r="B2" s="621"/>
      <c r="C2" s="621"/>
      <c r="D2" s="621"/>
      <c r="E2" s="621"/>
      <c r="F2" s="621"/>
      <c r="G2" s="621"/>
      <c r="H2" s="621"/>
      <c r="I2" s="621"/>
      <c r="J2" s="621"/>
    </row>
    <row r="3" spans="1:10" ht="15.75">
      <c r="A3" s="621" t="s">
        <v>284</v>
      </c>
      <c r="B3" s="621"/>
      <c r="C3" s="621"/>
      <c r="D3" s="621"/>
      <c r="E3" s="621"/>
      <c r="F3" s="621"/>
      <c r="G3" s="621"/>
      <c r="H3" s="621"/>
      <c r="I3" s="621"/>
      <c r="J3" s="621"/>
    </row>
    <row r="4" spans="1:7" ht="15">
      <c r="A4" s="7"/>
      <c r="B4" s="6"/>
      <c r="C4" s="6"/>
      <c r="D4" s="6"/>
      <c r="E4" s="6"/>
      <c r="F4" s="6"/>
      <c r="G4" s="6"/>
    </row>
    <row r="5" spans="1:7" ht="18">
      <c r="A5" s="632" t="s">
        <v>301</v>
      </c>
      <c r="B5" s="632"/>
      <c r="C5" s="632"/>
      <c r="D5" s="632"/>
      <c r="E5" s="632"/>
      <c r="F5" s="632"/>
      <c r="G5" s="632"/>
    </row>
    <row r="6" ht="15.75">
      <c r="E6" s="44"/>
    </row>
    <row r="7" spans="1:6" ht="16.5" thickBot="1">
      <c r="A7" s="44"/>
      <c r="D7" s="370" t="s">
        <v>359</v>
      </c>
      <c r="E7" s="174"/>
      <c r="F7" s="267">
        <v>20.2366</v>
      </c>
    </row>
    <row r="8" spans="1:7" ht="63.75" thickTop="1">
      <c r="A8" s="188" t="s">
        <v>57</v>
      </c>
      <c r="B8" s="189" t="s">
        <v>1</v>
      </c>
      <c r="C8" s="190" t="s">
        <v>64</v>
      </c>
      <c r="D8" s="190" t="s">
        <v>65</v>
      </c>
      <c r="E8" s="190" t="s">
        <v>66</v>
      </c>
      <c r="F8" s="190" t="s">
        <v>67</v>
      </c>
      <c r="G8" s="191" t="s">
        <v>68</v>
      </c>
    </row>
    <row r="9" spans="1:7" ht="15">
      <c r="A9" s="99"/>
      <c r="B9" s="101"/>
      <c r="C9" s="152"/>
      <c r="D9" s="152"/>
      <c r="E9" s="152"/>
      <c r="F9" s="152"/>
      <c r="G9" s="153"/>
    </row>
    <row r="10" spans="1:7" ht="15">
      <c r="A10" s="99">
        <v>1</v>
      </c>
      <c r="B10" s="154" t="s">
        <v>69</v>
      </c>
      <c r="C10" s="155">
        <v>0</v>
      </c>
      <c r="D10" s="156" t="s">
        <v>63</v>
      </c>
      <c r="E10" s="157">
        <v>60</v>
      </c>
      <c r="F10" s="158">
        <f aca="true" t="shared" si="0" ref="F10:F24">E10*$C$34</f>
        <v>6540</v>
      </c>
      <c r="G10" s="159">
        <f aca="true" t="shared" si="1" ref="G10:G24">F10/$F$7</f>
        <v>323.1768182402182</v>
      </c>
    </row>
    <row r="11" spans="1:7" ht="15">
      <c r="A11" s="99">
        <f>1+A10</f>
        <v>2</v>
      </c>
      <c r="B11" s="100" t="s">
        <v>172</v>
      </c>
      <c r="C11" s="102">
        <v>1</v>
      </c>
      <c r="D11" s="160">
        <f>(C11/$C$34)/5</f>
        <v>0.001834862385321101</v>
      </c>
      <c r="E11" s="161">
        <f aca="true" t="shared" si="2" ref="E11:E24">D11*$C$36</f>
        <v>0.14678899082568808</v>
      </c>
      <c r="F11" s="162">
        <f t="shared" si="0"/>
        <v>16</v>
      </c>
      <c r="G11" s="163">
        <f t="shared" si="1"/>
        <v>0.7906466501289743</v>
      </c>
    </row>
    <row r="12" spans="1:7" ht="15">
      <c r="A12" s="99">
        <f>1+A11</f>
        <v>3</v>
      </c>
      <c r="B12" s="100" t="s">
        <v>193</v>
      </c>
      <c r="C12" s="102">
        <v>4131</v>
      </c>
      <c r="D12" s="160">
        <f>(C12/$C$34)/5</f>
        <v>7.579816513761467</v>
      </c>
      <c r="E12" s="161">
        <f t="shared" si="2"/>
        <v>606.3853211009174</v>
      </c>
      <c r="F12" s="162">
        <f t="shared" si="0"/>
        <v>66096</v>
      </c>
      <c r="G12" s="163">
        <f t="shared" si="1"/>
        <v>3266.1613116827925</v>
      </c>
    </row>
    <row r="13" spans="1:7" ht="15">
      <c r="A13" s="99">
        <f aca="true" t="shared" si="3" ref="A13:A28">1+A12</f>
        <v>4</v>
      </c>
      <c r="B13" s="100" t="s">
        <v>194</v>
      </c>
      <c r="C13" s="102">
        <v>871</v>
      </c>
      <c r="D13" s="160">
        <f>(C13/$C$34)/5</f>
        <v>1.598165137614679</v>
      </c>
      <c r="E13" s="161">
        <f t="shared" si="2"/>
        <v>127.85321100917432</v>
      </c>
      <c r="F13" s="162">
        <f t="shared" si="0"/>
        <v>13936</v>
      </c>
      <c r="G13" s="163">
        <f t="shared" si="1"/>
        <v>688.6532322623366</v>
      </c>
    </row>
    <row r="14" spans="1:7" ht="15">
      <c r="A14" s="99">
        <f t="shared" si="3"/>
        <v>5</v>
      </c>
      <c r="B14" s="100" t="s">
        <v>195</v>
      </c>
      <c r="C14" s="102">
        <v>5888</v>
      </c>
      <c r="D14" s="160">
        <f>(C14/$C$34)/5</f>
        <v>10.803669724770643</v>
      </c>
      <c r="E14" s="161">
        <f t="shared" si="2"/>
        <v>864.2935779816514</v>
      </c>
      <c r="F14" s="162">
        <f t="shared" si="0"/>
        <v>94208</v>
      </c>
      <c r="G14" s="163">
        <f t="shared" si="1"/>
        <v>4655.3274759594005</v>
      </c>
    </row>
    <row r="15" spans="1:7" ht="15">
      <c r="A15" s="99">
        <f t="shared" si="3"/>
        <v>6</v>
      </c>
      <c r="B15" s="100" t="s">
        <v>173</v>
      </c>
      <c r="C15" s="102">
        <v>2</v>
      </c>
      <c r="D15" s="160">
        <f>C15/$C$34/20</f>
        <v>0.0009174311926605505</v>
      </c>
      <c r="E15" s="161">
        <f t="shared" si="2"/>
        <v>0.07339449541284404</v>
      </c>
      <c r="F15" s="162">
        <f t="shared" si="0"/>
        <v>8</v>
      </c>
      <c r="G15" s="163">
        <f t="shared" si="1"/>
        <v>0.39532332506448714</v>
      </c>
    </row>
    <row r="16" spans="1:7" ht="15">
      <c r="A16" s="99">
        <f t="shared" si="3"/>
        <v>7</v>
      </c>
      <c r="B16" s="100" t="s">
        <v>196</v>
      </c>
      <c r="C16" s="102">
        <v>0</v>
      </c>
      <c r="D16" s="160">
        <f>C16/$C$34/20</f>
        <v>0</v>
      </c>
      <c r="E16" s="161">
        <f t="shared" si="2"/>
        <v>0</v>
      </c>
      <c r="F16" s="162">
        <f t="shared" si="0"/>
        <v>0</v>
      </c>
      <c r="G16" s="163">
        <f t="shared" si="1"/>
        <v>0</v>
      </c>
    </row>
    <row r="17" spans="1:7" ht="15">
      <c r="A17" s="99">
        <f>1+A16</f>
        <v>8</v>
      </c>
      <c r="B17" s="100" t="s">
        <v>197</v>
      </c>
      <c r="C17" s="85">
        <v>4131</v>
      </c>
      <c r="D17" s="160">
        <f>C17/$C$34/20</f>
        <v>1.8949541284403668</v>
      </c>
      <c r="E17" s="161">
        <f t="shared" si="2"/>
        <v>151.59633027522935</v>
      </c>
      <c r="F17" s="162">
        <f t="shared" si="0"/>
        <v>16524</v>
      </c>
      <c r="G17" s="163">
        <f t="shared" si="1"/>
        <v>816.5403279206981</v>
      </c>
    </row>
    <row r="18" spans="1:7" ht="15">
      <c r="A18" s="99">
        <f t="shared" si="3"/>
        <v>9</v>
      </c>
      <c r="B18" s="100" t="s">
        <v>198</v>
      </c>
      <c r="C18" s="85">
        <v>871</v>
      </c>
      <c r="D18" s="160">
        <f>C18/$C$34/20</f>
        <v>0.39954128440366976</v>
      </c>
      <c r="E18" s="161">
        <f t="shared" si="2"/>
        <v>31.96330275229358</v>
      </c>
      <c r="F18" s="162">
        <f t="shared" si="0"/>
        <v>3484</v>
      </c>
      <c r="G18" s="163">
        <f t="shared" si="1"/>
        <v>172.16330806558415</v>
      </c>
    </row>
    <row r="19" spans="1:7" ht="15">
      <c r="A19" s="99">
        <f t="shared" si="3"/>
        <v>10</v>
      </c>
      <c r="B19" s="54" t="s">
        <v>199</v>
      </c>
      <c r="C19" s="85">
        <v>5888</v>
      </c>
      <c r="D19" s="160">
        <f>C19/$C$34/5</f>
        <v>10.803669724770643</v>
      </c>
      <c r="E19" s="161">
        <f t="shared" si="2"/>
        <v>864.2935779816514</v>
      </c>
      <c r="F19" s="162">
        <f t="shared" si="0"/>
        <v>94208</v>
      </c>
      <c r="G19" s="163">
        <f t="shared" si="1"/>
        <v>4655.3274759594005</v>
      </c>
    </row>
    <row r="20" spans="1:7" ht="15">
      <c r="A20" s="99">
        <f t="shared" si="3"/>
        <v>11</v>
      </c>
      <c r="B20" s="82" t="s">
        <v>185</v>
      </c>
      <c r="C20" s="85">
        <v>1</v>
      </c>
      <c r="D20" s="160">
        <f>C20/$C$34/5</f>
        <v>0.001834862385321101</v>
      </c>
      <c r="E20" s="161">
        <f t="shared" si="2"/>
        <v>0.14678899082568808</v>
      </c>
      <c r="F20" s="162">
        <f t="shared" si="0"/>
        <v>16</v>
      </c>
      <c r="G20" s="163">
        <f t="shared" si="1"/>
        <v>0.7906466501289743</v>
      </c>
    </row>
    <row r="21" spans="1:7" ht="15">
      <c r="A21" s="99">
        <f t="shared" si="3"/>
        <v>12</v>
      </c>
      <c r="B21" s="82" t="s">
        <v>200</v>
      </c>
      <c r="C21" s="85">
        <v>24007.8</v>
      </c>
      <c r="D21" s="160">
        <f>C21/$C$34/5</f>
        <v>44.05100917431192</v>
      </c>
      <c r="E21" s="161">
        <f t="shared" si="2"/>
        <v>3524.080733944954</v>
      </c>
      <c r="F21" s="162">
        <f t="shared" si="0"/>
        <v>384124.8</v>
      </c>
      <c r="G21" s="163">
        <f t="shared" si="1"/>
        <v>18981.686646966387</v>
      </c>
    </row>
    <row r="22" spans="1:7" ht="15">
      <c r="A22" s="99">
        <f t="shared" si="3"/>
        <v>13</v>
      </c>
      <c r="B22" s="82" t="s">
        <v>201</v>
      </c>
      <c r="C22" s="85">
        <f>C21</f>
        <v>24007.8</v>
      </c>
      <c r="D22" s="160">
        <f>C22/$C$34/5</f>
        <v>44.05100917431192</v>
      </c>
      <c r="E22" s="161">
        <f t="shared" si="2"/>
        <v>3524.080733944954</v>
      </c>
      <c r="F22" s="162">
        <f t="shared" si="0"/>
        <v>384124.8</v>
      </c>
      <c r="G22" s="163">
        <f t="shared" si="1"/>
        <v>18981.686646966387</v>
      </c>
    </row>
    <row r="23" spans="1:7" ht="15">
      <c r="A23" s="99">
        <f t="shared" si="3"/>
        <v>14</v>
      </c>
      <c r="B23" s="82" t="s">
        <v>202</v>
      </c>
      <c r="C23" s="85">
        <v>109</v>
      </c>
      <c r="D23" s="160">
        <f>C23/$C$34/20</f>
        <v>0.05</v>
      </c>
      <c r="E23" s="161">
        <f t="shared" si="2"/>
        <v>4</v>
      </c>
      <c r="F23" s="162">
        <f t="shared" si="0"/>
        <v>436</v>
      </c>
      <c r="G23" s="163">
        <f t="shared" si="1"/>
        <v>21.54512121601455</v>
      </c>
    </row>
    <row r="24" spans="1:7" ht="15">
      <c r="A24" s="99">
        <f t="shared" si="3"/>
        <v>15</v>
      </c>
      <c r="B24" s="82" t="s">
        <v>96</v>
      </c>
      <c r="C24" s="85">
        <v>109</v>
      </c>
      <c r="D24" s="160">
        <f>C24/$C$34/20</f>
        <v>0.05</v>
      </c>
      <c r="E24" s="161">
        <f t="shared" si="2"/>
        <v>4</v>
      </c>
      <c r="F24" s="162">
        <f t="shared" si="0"/>
        <v>436</v>
      </c>
      <c r="G24" s="163">
        <f t="shared" si="1"/>
        <v>21.54512121601455</v>
      </c>
    </row>
    <row r="25" spans="1:7" s="54" customFormat="1" ht="15">
      <c r="A25" s="84">
        <f t="shared" si="3"/>
        <v>16</v>
      </c>
      <c r="B25" s="82" t="s">
        <v>70</v>
      </c>
      <c r="C25" s="83">
        <v>109</v>
      </c>
      <c r="D25" s="169" t="s">
        <v>63</v>
      </c>
      <c r="E25" s="170">
        <v>971</v>
      </c>
      <c r="F25" s="171">
        <f>SUM(E25*F7)</f>
        <v>19649.7386</v>
      </c>
      <c r="G25" s="172">
        <f>SUM(F25/F7)</f>
        <v>971.0000000000001</v>
      </c>
    </row>
    <row r="26" spans="1:7" s="54" customFormat="1" ht="15">
      <c r="A26" s="84">
        <f t="shared" si="3"/>
        <v>17</v>
      </c>
      <c r="B26" s="82" t="s">
        <v>71</v>
      </c>
      <c r="C26" s="83">
        <v>2200</v>
      </c>
      <c r="D26" s="173">
        <f>C26/$C$34</f>
        <v>20.18348623853211</v>
      </c>
      <c r="E26" s="170">
        <f>D26*C36</f>
        <v>1614.678899082569</v>
      </c>
      <c r="F26" s="171">
        <f>E26*$C$34</f>
        <v>176000</v>
      </c>
      <c r="G26" s="172">
        <f>F26/$F$7</f>
        <v>8697.113151418716</v>
      </c>
    </row>
    <row r="27" spans="1:7" s="54" customFormat="1" ht="15">
      <c r="A27" s="84">
        <f t="shared" si="3"/>
        <v>18</v>
      </c>
      <c r="B27" s="82" t="s">
        <v>158</v>
      </c>
      <c r="C27" s="83">
        <v>1800</v>
      </c>
      <c r="D27" s="173">
        <f>C27/$C$34</f>
        <v>16.513761467889907</v>
      </c>
      <c r="E27" s="170">
        <f>D27*$C$36</f>
        <v>1321.1009174311926</v>
      </c>
      <c r="F27" s="171">
        <f>E27*$C$34</f>
        <v>144000</v>
      </c>
      <c r="G27" s="172">
        <f>F27/$F$7</f>
        <v>7115.819851160768</v>
      </c>
    </row>
    <row r="28" spans="1:7" s="54" customFormat="1" ht="15">
      <c r="A28" s="84">
        <f t="shared" si="3"/>
        <v>19</v>
      </c>
      <c r="B28" s="82" t="s">
        <v>72</v>
      </c>
      <c r="C28" s="83">
        <v>0</v>
      </c>
      <c r="D28" s="173">
        <f>C28/$C$34</f>
        <v>0</v>
      </c>
      <c r="E28" s="170">
        <f>F28/C33</f>
        <v>594.4954128440367</v>
      </c>
      <c r="F28" s="171">
        <v>64800</v>
      </c>
      <c r="G28" s="172">
        <f>F28/$F$7</f>
        <v>3202.1189330223456</v>
      </c>
    </row>
    <row r="29" spans="1:7" ht="15.75">
      <c r="A29" s="99"/>
      <c r="B29" s="164" t="s">
        <v>73</v>
      </c>
      <c r="C29" s="101"/>
      <c r="D29" s="101"/>
      <c r="E29" s="165">
        <f>E10+E25+E28</f>
        <v>1625.4954128440368</v>
      </c>
      <c r="F29" s="200">
        <f>E29*C34</f>
        <v>177179</v>
      </c>
      <c r="G29" s="201">
        <f>F29/$F$7</f>
        <v>8755.373926450096</v>
      </c>
    </row>
    <row r="30" spans="1:7" ht="16.5" thickBot="1">
      <c r="A30" s="99"/>
      <c r="B30" s="164" t="s">
        <v>74</v>
      </c>
      <c r="C30" s="101"/>
      <c r="D30" s="101"/>
      <c r="E30" s="165">
        <f>SUM(E11:E24)</f>
        <v>9702.913761467891</v>
      </c>
      <c r="F30" s="200">
        <f>E30*C34</f>
        <v>1057617.6</v>
      </c>
      <c r="G30" s="202">
        <f>F30/$F$7</f>
        <v>52262.61328484034</v>
      </c>
    </row>
    <row r="31" spans="1:8" ht="24.75" customHeight="1" thickBot="1" thickTop="1">
      <c r="A31" s="166"/>
      <c r="B31" s="630" t="s">
        <v>75</v>
      </c>
      <c r="C31" s="631"/>
      <c r="D31" s="167">
        <f>SUM(D10:D28)*1.5</f>
        <v>236.97550458715597</v>
      </c>
      <c r="E31" s="92">
        <f>SUM(E29:E30)</f>
        <v>11328.409174311928</v>
      </c>
      <c r="F31" s="92">
        <f>SUM(F29:F30)</f>
        <v>1234796.6</v>
      </c>
      <c r="G31" s="199">
        <f>SUM(G29:G30)</f>
        <v>61017.98721129044</v>
      </c>
      <c r="H31" s="106"/>
    </row>
    <row r="32" ht="15.75" thickTop="1"/>
    <row r="33" spans="2:6" ht="15.75">
      <c r="B33" s="44" t="s">
        <v>133</v>
      </c>
      <c r="C33" s="74">
        <v>109</v>
      </c>
      <c r="D33" s="52"/>
      <c r="E33" s="57" t="s">
        <v>8</v>
      </c>
      <c r="F33" s="48"/>
    </row>
    <row r="34" spans="1:5" ht="15">
      <c r="A34" s="2" t="s">
        <v>76</v>
      </c>
      <c r="C34" s="32">
        <v>109</v>
      </c>
      <c r="D34" s="60"/>
      <c r="E34" s="52"/>
    </row>
    <row r="35" spans="3:6" ht="15">
      <c r="C35" s="32"/>
      <c r="E35" s="57"/>
      <c r="F35" s="56"/>
    </row>
    <row r="36" spans="1:5" ht="15.75">
      <c r="A36" s="2" t="s">
        <v>77</v>
      </c>
      <c r="C36" s="168">
        <v>80</v>
      </c>
      <c r="D36" s="52" t="s">
        <v>138</v>
      </c>
      <c r="E36" s="44"/>
    </row>
    <row r="37" ht="15">
      <c r="C37" s="32"/>
    </row>
    <row r="38" spans="1:3" ht="15">
      <c r="A38" s="2" t="s">
        <v>78</v>
      </c>
      <c r="C38" s="168">
        <v>10</v>
      </c>
    </row>
    <row r="39" ht="15">
      <c r="C39" s="168"/>
    </row>
    <row r="40" spans="1:3" ht="15">
      <c r="A40" s="2" t="s">
        <v>79</v>
      </c>
      <c r="C40" s="168">
        <v>40</v>
      </c>
    </row>
    <row r="41" ht="15">
      <c r="C41" s="32"/>
    </row>
    <row r="42" spans="1:4" ht="15">
      <c r="A42" s="2" t="s">
        <v>80</v>
      </c>
      <c r="C42" s="49">
        <v>11</v>
      </c>
      <c r="D42" s="56" t="s">
        <v>114</v>
      </c>
    </row>
  </sheetData>
  <sheetProtection/>
  <mergeCells count="5">
    <mergeCell ref="B31:C31"/>
    <mergeCell ref="A5:G5"/>
    <mergeCell ref="A1:J1"/>
    <mergeCell ref="A2:J2"/>
    <mergeCell ref="A3:J3"/>
  </mergeCells>
  <printOptions horizontalCentered="1" verticalCentered="1"/>
  <pageMargins left="0.63" right="0.37" top="0.52" bottom="0.7" header="0.23" footer="0.36"/>
  <pageSetup horizontalDpi="180" verticalDpi="180" orientation="landscape" scale="75" r:id="rId1"/>
  <headerFooter alignWithMargins="0">
    <oddHeader>&amp;LProyecto de Agua Potable
Estudio de Factibilidad 2,008&amp;RComunidad  Mongallo/Negrowas
Municipio Siuna RAAN</oddHeader>
    <oddFooter>&amp;L&amp;F
&amp;D&amp;C&amp;P&amp;RAPLV -Rio Blanco
</oddFooter>
  </headerFooter>
  <ignoredErrors>
    <ignoredError sqref="F25:G2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3"/>
  <sheetViews>
    <sheetView zoomScale="90" zoomScaleNormal="90" zoomScalePageLayoutView="0" workbookViewId="0" topLeftCell="A1">
      <selection activeCell="H25" sqref="H25"/>
    </sheetView>
  </sheetViews>
  <sheetFormatPr defaultColWidth="11.421875" defaultRowHeight="12.75"/>
  <cols>
    <col min="1" max="1" width="10.57421875" style="0" customWidth="1"/>
    <col min="2" max="2" width="12.421875" style="0" customWidth="1"/>
    <col min="3" max="3" width="54.28125" style="0" customWidth="1"/>
    <col min="4" max="4" width="13.8515625" style="0" customWidth="1"/>
    <col min="5" max="5" width="15.57421875" style="0" customWidth="1"/>
    <col min="6" max="6" width="13.57421875" style="0" customWidth="1"/>
    <col min="7" max="7" width="14.140625" style="0" customWidth="1"/>
  </cols>
  <sheetData>
    <row r="2" ht="12.75">
      <c r="A2" s="3" t="s">
        <v>377</v>
      </c>
    </row>
    <row r="3" spans="1:4" ht="12.75">
      <c r="A3" s="3"/>
      <c r="D3" s="3" t="s">
        <v>378</v>
      </c>
    </row>
    <row r="4" spans="1:4" ht="12.75">
      <c r="A4" s="3" t="s">
        <v>379</v>
      </c>
      <c r="D4" s="468"/>
    </row>
    <row r="5" spans="1:5" ht="15.75">
      <c r="A5" s="635" t="s">
        <v>380</v>
      </c>
      <c r="B5" s="635"/>
      <c r="C5" s="635"/>
      <c r="D5" s="635"/>
      <c r="E5" s="635"/>
    </row>
    <row r="6" spans="1:5" ht="12.75">
      <c r="A6" s="636" t="s">
        <v>381</v>
      </c>
      <c r="B6" s="636"/>
      <c r="C6" s="636"/>
      <c r="D6" s="636"/>
      <c r="E6" s="636"/>
    </row>
    <row r="7" spans="1:6" ht="15.75">
      <c r="A7" s="469"/>
      <c r="B7" s="470">
        <v>63</v>
      </c>
      <c r="C7" s="471"/>
      <c r="E7" t="s">
        <v>359</v>
      </c>
      <c r="F7" s="472">
        <v>20.83</v>
      </c>
    </row>
    <row r="8" spans="1:5" ht="13.5" thickBot="1">
      <c r="A8" s="3" t="s">
        <v>382</v>
      </c>
      <c r="E8" s="473"/>
    </row>
    <row r="9" spans="1:6" ht="15" thickBot="1" thickTop="1">
      <c r="A9" s="474" t="s">
        <v>2</v>
      </c>
      <c r="B9" s="475" t="s">
        <v>3</v>
      </c>
      <c r="C9" s="476" t="s">
        <v>383</v>
      </c>
      <c r="D9" s="476" t="s">
        <v>384</v>
      </c>
      <c r="E9" s="477" t="s">
        <v>385</v>
      </c>
      <c r="F9" s="478" t="s">
        <v>68</v>
      </c>
    </row>
    <row r="10" spans="1:6" ht="14.25" thickTop="1">
      <c r="A10" s="479">
        <f>8*$B$7</f>
        <v>504</v>
      </c>
      <c r="B10" s="480" t="s">
        <v>386</v>
      </c>
      <c r="C10" s="481" t="s">
        <v>387</v>
      </c>
      <c r="D10" s="482">
        <v>180</v>
      </c>
      <c r="E10" s="483">
        <f aca="true" t="shared" si="0" ref="E10:E29">A10*D10</f>
        <v>90720</v>
      </c>
      <c r="F10" s="484">
        <f>E10/$F$7</f>
        <v>4355.256841094575</v>
      </c>
    </row>
    <row r="11" spans="1:6" ht="15">
      <c r="A11" s="485">
        <f>1.33*$B$7</f>
        <v>83.79</v>
      </c>
      <c r="B11" s="480" t="s">
        <v>425</v>
      </c>
      <c r="C11" s="481" t="s">
        <v>388</v>
      </c>
      <c r="D11" s="482">
        <v>400</v>
      </c>
      <c r="E11" s="483">
        <f t="shared" si="0"/>
        <v>33516</v>
      </c>
      <c r="F11" s="484">
        <f aca="true" t="shared" si="1" ref="F11:F31">E11/$F$7</f>
        <v>1609.0254440710514</v>
      </c>
    </row>
    <row r="12" spans="1:6" ht="15">
      <c r="A12" s="479">
        <f>0.04*$B$7</f>
        <v>2.52</v>
      </c>
      <c r="B12" s="480" t="s">
        <v>425</v>
      </c>
      <c r="C12" s="486" t="s">
        <v>389</v>
      </c>
      <c r="D12" s="482">
        <v>850</v>
      </c>
      <c r="E12" s="483">
        <f t="shared" si="0"/>
        <v>2142</v>
      </c>
      <c r="F12" s="484">
        <f t="shared" si="1"/>
        <v>102.83245319251081</v>
      </c>
    </row>
    <row r="13" spans="1:6" ht="13.5">
      <c r="A13" s="487">
        <f>0.1*$B$7</f>
        <v>6.300000000000001</v>
      </c>
      <c r="B13" s="480" t="s">
        <v>386</v>
      </c>
      <c r="C13" s="486" t="s">
        <v>390</v>
      </c>
      <c r="D13" s="482">
        <v>1300</v>
      </c>
      <c r="E13" s="483">
        <f t="shared" si="0"/>
        <v>8190.000000000001</v>
      </c>
      <c r="F13" s="484">
        <f t="shared" si="1"/>
        <v>393.1829092654826</v>
      </c>
    </row>
    <row r="14" spans="1:6" ht="13.5">
      <c r="A14" s="479">
        <f>0.33*$B$7</f>
        <v>20.790000000000003</v>
      </c>
      <c r="B14" s="480" t="s">
        <v>391</v>
      </c>
      <c r="C14" s="486" t="s">
        <v>9</v>
      </c>
      <c r="D14" s="482">
        <v>20</v>
      </c>
      <c r="E14" s="483">
        <f t="shared" si="0"/>
        <v>415.80000000000007</v>
      </c>
      <c r="F14" s="484">
        <f t="shared" si="1"/>
        <v>19.961593855016808</v>
      </c>
    </row>
    <row r="15" spans="1:6" ht="13.5">
      <c r="A15" s="479">
        <f>2*$B$7</f>
        <v>126</v>
      </c>
      <c r="B15" s="480" t="s">
        <v>3</v>
      </c>
      <c r="C15" s="481" t="s">
        <v>392</v>
      </c>
      <c r="D15" s="482">
        <v>210</v>
      </c>
      <c r="E15" s="483">
        <f t="shared" si="0"/>
        <v>26460</v>
      </c>
      <c r="F15" s="484">
        <f t="shared" si="1"/>
        <v>1270.2832453192511</v>
      </c>
    </row>
    <row r="16" spans="1:7" ht="13.5">
      <c r="A16" s="479">
        <f>2*$B$7</f>
        <v>126</v>
      </c>
      <c r="B16" s="480" t="s">
        <v>3</v>
      </c>
      <c r="C16" s="481" t="s">
        <v>393</v>
      </c>
      <c r="D16" s="482">
        <v>258</v>
      </c>
      <c r="E16" s="483">
        <f t="shared" si="0"/>
        <v>32508</v>
      </c>
      <c r="F16" s="484">
        <f t="shared" si="1"/>
        <v>1560.633701392223</v>
      </c>
      <c r="G16" s="488"/>
    </row>
    <row r="17" spans="1:6" ht="13.5">
      <c r="A17" s="479">
        <f>1*$B$7</f>
        <v>63</v>
      </c>
      <c r="B17" s="480" t="s">
        <v>3</v>
      </c>
      <c r="C17" s="486" t="s">
        <v>394</v>
      </c>
      <c r="D17" s="482">
        <v>268</v>
      </c>
      <c r="E17" s="483">
        <f t="shared" si="0"/>
        <v>16884</v>
      </c>
      <c r="F17" s="484">
        <f t="shared" si="1"/>
        <v>810.5616898703794</v>
      </c>
    </row>
    <row r="18" spans="1:6" ht="13.5">
      <c r="A18" s="479">
        <f>0.5*$B$7</f>
        <v>31.5</v>
      </c>
      <c r="B18" s="480" t="s">
        <v>391</v>
      </c>
      <c r="C18" s="481" t="s">
        <v>395</v>
      </c>
      <c r="D18" s="482">
        <v>25</v>
      </c>
      <c r="E18" s="483">
        <f t="shared" si="0"/>
        <v>787.5</v>
      </c>
      <c r="F18" s="484">
        <f t="shared" si="1"/>
        <v>37.806048967834855</v>
      </c>
    </row>
    <row r="19" spans="1:6" ht="13.5">
      <c r="A19" s="479">
        <f>0.5*$B$7</f>
        <v>31.5</v>
      </c>
      <c r="B19" s="480" t="s">
        <v>391</v>
      </c>
      <c r="C19" s="481" t="s">
        <v>396</v>
      </c>
      <c r="D19" s="482">
        <v>20</v>
      </c>
      <c r="E19" s="483">
        <f>A19*D19</f>
        <v>630</v>
      </c>
      <c r="F19" s="484">
        <f>E19/$F$7</f>
        <v>30.244839174267884</v>
      </c>
    </row>
    <row r="20" spans="1:6" ht="13.5">
      <c r="A20" s="479">
        <f>1*$B$7</f>
        <v>63</v>
      </c>
      <c r="B20" s="480" t="s">
        <v>391</v>
      </c>
      <c r="C20" s="481" t="s">
        <v>397</v>
      </c>
      <c r="D20" s="482">
        <v>20</v>
      </c>
      <c r="E20" s="483">
        <f t="shared" si="0"/>
        <v>1260</v>
      </c>
      <c r="F20" s="484">
        <f t="shared" si="1"/>
        <v>60.48967834853577</v>
      </c>
    </row>
    <row r="21" spans="1:6" ht="13.5">
      <c r="A21" s="479">
        <f>1*$B$7</f>
        <v>63</v>
      </c>
      <c r="B21" s="480" t="s">
        <v>391</v>
      </c>
      <c r="C21" s="481" t="s">
        <v>398</v>
      </c>
      <c r="D21" s="482">
        <v>20</v>
      </c>
      <c r="E21" s="483">
        <f>A21*D21</f>
        <v>1260</v>
      </c>
      <c r="F21" s="484">
        <f>E21/$F$7</f>
        <v>60.48967834853577</v>
      </c>
    </row>
    <row r="22" spans="1:6" ht="13.5">
      <c r="A22" s="479">
        <f>1*$B$7</f>
        <v>63</v>
      </c>
      <c r="B22" s="480" t="s">
        <v>391</v>
      </c>
      <c r="C22" s="481" t="s">
        <v>399</v>
      </c>
      <c r="D22" s="482">
        <v>20</v>
      </c>
      <c r="E22" s="483">
        <f t="shared" si="0"/>
        <v>1260</v>
      </c>
      <c r="F22" s="484">
        <f t="shared" si="1"/>
        <v>60.48967834853577</v>
      </c>
    </row>
    <row r="23" spans="1:6" ht="13.5">
      <c r="A23" s="479">
        <f>1*$B$7</f>
        <v>63</v>
      </c>
      <c r="B23" s="480" t="s">
        <v>400</v>
      </c>
      <c r="C23" s="486" t="s">
        <v>401</v>
      </c>
      <c r="D23" s="482">
        <v>25</v>
      </c>
      <c r="E23" s="483">
        <f t="shared" si="0"/>
        <v>1575</v>
      </c>
      <c r="F23" s="484">
        <f t="shared" si="1"/>
        <v>75.61209793566971</v>
      </c>
    </row>
    <row r="24" spans="1:6" ht="13.5">
      <c r="A24" s="479">
        <f>1*$B$7</f>
        <v>63</v>
      </c>
      <c r="B24" s="480" t="s">
        <v>3</v>
      </c>
      <c r="C24" s="481" t="s">
        <v>402</v>
      </c>
      <c r="D24" s="482">
        <v>635</v>
      </c>
      <c r="E24" s="483">
        <f t="shared" si="0"/>
        <v>40005</v>
      </c>
      <c r="F24" s="484">
        <f t="shared" si="1"/>
        <v>1920.5472875660107</v>
      </c>
    </row>
    <row r="25" spans="1:6" ht="13.5">
      <c r="A25" s="479">
        <f>0.4*$B$7</f>
        <v>25.200000000000003</v>
      </c>
      <c r="B25" s="480" t="s">
        <v>3</v>
      </c>
      <c r="C25" s="486" t="s">
        <v>403</v>
      </c>
      <c r="D25" s="482">
        <v>95</v>
      </c>
      <c r="E25" s="483">
        <f t="shared" si="0"/>
        <v>2394.0000000000005</v>
      </c>
      <c r="F25" s="484">
        <f t="shared" si="1"/>
        <v>114.93038886221798</v>
      </c>
    </row>
    <row r="26" spans="1:6" ht="13.5">
      <c r="A26" s="479">
        <f>0.125*$B$7</f>
        <v>7.875</v>
      </c>
      <c r="B26" s="480" t="s">
        <v>90</v>
      </c>
      <c r="C26" s="481" t="s">
        <v>404</v>
      </c>
      <c r="D26" s="482">
        <v>30</v>
      </c>
      <c r="E26" s="483">
        <f t="shared" si="0"/>
        <v>236.25</v>
      </c>
      <c r="F26" s="484">
        <f t="shared" si="1"/>
        <v>11.341814690350457</v>
      </c>
    </row>
    <row r="27" spans="1:6" ht="13.5">
      <c r="A27" s="479">
        <f>1*$B$7</f>
        <v>63</v>
      </c>
      <c r="B27" s="480" t="s">
        <v>3</v>
      </c>
      <c r="C27" s="486" t="s">
        <v>405</v>
      </c>
      <c r="D27" s="482">
        <v>14.48</v>
      </c>
      <c r="E27" s="483">
        <f t="shared" si="0"/>
        <v>912.24</v>
      </c>
      <c r="F27" s="484">
        <f t="shared" si="1"/>
        <v>43.7945271243399</v>
      </c>
    </row>
    <row r="28" spans="1:6" ht="13.5">
      <c r="A28" s="489">
        <f>$B$7</f>
        <v>63</v>
      </c>
      <c r="B28" s="480" t="s">
        <v>3</v>
      </c>
      <c r="C28" s="490" t="s">
        <v>406</v>
      </c>
      <c r="D28" s="482">
        <v>150</v>
      </c>
      <c r="E28" s="483">
        <f>D28*A28</f>
        <v>9450</v>
      </c>
      <c r="F28" s="484">
        <f t="shared" si="1"/>
        <v>453.67258761401825</v>
      </c>
    </row>
    <row r="29" spans="1:6" ht="13.5">
      <c r="A29" s="489">
        <f>0.17*$B$7</f>
        <v>10.71</v>
      </c>
      <c r="B29" s="480" t="s">
        <v>391</v>
      </c>
      <c r="C29" s="490" t="s">
        <v>407</v>
      </c>
      <c r="D29" s="482">
        <v>60</v>
      </c>
      <c r="E29" s="483">
        <f t="shared" si="0"/>
        <v>642.6</v>
      </c>
      <c r="F29" s="484">
        <f t="shared" si="1"/>
        <v>30.849735957753243</v>
      </c>
    </row>
    <row r="30" spans="1:6" ht="13.5">
      <c r="A30" s="489">
        <f>(104*$B$7)</f>
        <v>6552</v>
      </c>
      <c r="B30" s="480" t="s">
        <v>3</v>
      </c>
      <c r="C30" s="490" t="s">
        <v>408</v>
      </c>
      <c r="D30" s="482">
        <v>3</v>
      </c>
      <c r="E30" s="483">
        <f>A30*D30</f>
        <v>19656</v>
      </c>
      <c r="F30" s="484">
        <f t="shared" si="1"/>
        <v>943.6389822371581</v>
      </c>
    </row>
    <row r="31" spans="1:6" s="497" customFormat="1" ht="13.5">
      <c r="A31" s="491">
        <v>60</v>
      </c>
      <c r="B31" s="492" t="s">
        <v>409</v>
      </c>
      <c r="C31" s="493" t="s">
        <v>410</v>
      </c>
      <c r="D31" s="494">
        <v>420</v>
      </c>
      <c r="E31" s="495">
        <f>A31*D31</f>
        <v>25200</v>
      </c>
      <c r="F31" s="496">
        <f t="shared" si="1"/>
        <v>1209.7935669707153</v>
      </c>
    </row>
    <row r="32" spans="1:6" ht="15.75" thickBot="1">
      <c r="A32" s="498"/>
      <c r="B32" s="499"/>
      <c r="C32" s="500"/>
      <c r="D32" s="500"/>
      <c r="E32" s="501">
        <f>SUM(E10:E31)</f>
        <v>316104.38999999996</v>
      </c>
      <c r="F32" s="502">
        <f>SUM(F10:F31)</f>
        <v>15175.438790206437</v>
      </c>
    </row>
    <row r="33" ht="13.5" thickTop="1">
      <c r="C33" s="503"/>
    </row>
    <row r="34" spans="1:5" ht="12.75">
      <c r="A34" s="637"/>
      <c r="B34" s="637"/>
      <c r="C34" s="637"/>
      <c r="D34" s="468"/>
      <c r="E34" s="504"/>
    </row>
    <row r="35" spans="1:7" ht="15">
      <c r="A35" s="505" t="s">
        <v>50</v>
      </c>
      <c r="B35" s="8"/>
      <c r="C35" s="8"/>
      <c r="D35" s="8"/>
      <c r="E35" s="506"/>
      <c r="F35" s="506"/>
      <c r="G35" s="8"/>
    </row>
    <row r="36" spans="1:7" ht="13.5">
      <c r="A36" s="8" t="s">
        <v>411</v>
      </c>
      <c r="B36" s="8"/>
      <c r="C36" s="8"/>
      <c r="D36" s="8"/>
      <c r="E36" s="506"/>
      <c r="F36" s="506"/>
      <c r="G36" s="8"/>
    </row>
    <row r="37" spans="1:7" ht="13.5">
      <c r="A37" s="8"/>
      <c r="B37" s="507"/>
      <c r="C37" s="8" t="s">
        <v>412</v>
      </c>
      <c r="D37" s="507">
        <v>1.5</v>
      </c>
      <c r="E37" s="507" t="s">
        <v>51</v>
      </c>
      <c r="F37" s="508">
        <v>2500</v>
      </c>
      <c r="G37" s="509">
        <f>D37*F37</f>
        <v>3750</v>
      </c>
    </row>
    <row r="38" spans="1:7" ht="13.5">
      <c r="A38" s="8" t="s">
        <v>413</v>
      </c>
      <c r="B38" s="8"/>
      <c r="C38" s="8"/>
      <c r="D38" s="507"/>
      <c r="E38" s="507"/>
      <c r="F38" s="508"/>
      <c r="G38" s="506"/>
    </row>
    <row r="39" spans="1:7" ht="13.5">
      <c r="A39" s="8"/>
      <c r="B39" s="507"/>
      <c r="C39" s="8" t="s">
        <v>412</v>
      </c>
      <c r="D39" s="507">
        <v>1</v>
      </c>
      <c r="E39" s="507" t="s">
        <v>51</v>
      </c>
      <c r="F39" s="508">
        <f>F37</f>
        <v>2500</v>
      </c>
      <c r="G39" s="508">
        <f>F39*D39</f>
        <v>2500</v>
      </c>
    </row>
    <row r="40" spans="1:7" ht="13.5">
      <c r="A40" s="633" t="s">
        <v>414</v>
      </c>
      <c r="B40" s="633"/>
      <c r="C40" s="8"/>
      <c r="D40" s="507"/>
      <c r="E40" s="507"/>
      <c r="F40" s="508"/>
      <c r="G40" s="506"/>
    </row>
    <row r="41" spans="1:7" s="323" customFormat="1" ht="13.5">
      <c r="A41" s="510"/>
      <c r="B41" s="511"/>
      <c r="C41" s="510" t="s">
        <v>412</v>
      </c>
      <c r="D41" s="511">
        <v>30</v>
      </c>
      <c r="E41" s="511" t="s">
        <v>51</v>
      </c>
      <c r="F41" s="508">
        <v>3000</v>
      </c>
      <c r="G41" s="508">
        <f>F41*D41</f>
        <v>90000</v>
      </c>
    </row>
    <row r="42" spans="1:7" ht="13.5">
      <c r="A42" s="633" t="s">
        <v>415</v>
      </c>
      <c r="B42" s="633"/>
      <c r="C42" s="8"/>
      <c r="D42" s="507"/>
      <c r="E42" s="507"/>
      <c r="F42" s="507"/>
      <c r="G42" s="506"/>
    </row>
    <row r="43" spans="1:7" ht="13.5">
      <c r="A43" s="8"/>
      <c r="B43" s="8"/>
      <c r="C43" s="8" t="s">
        <v>416</v>
      </c>
      <c r="D43" s="507">
        <v>1</v>
      </c>
      <c r="E43" s="507" t="s">
        <v>51</v>
      </c>
      <c r="F43" s="508">
        <v>1500</v>
      </c>
      <c r="G43" s="508">
        <f>F43*D43</f>
        <v>1500</v>
      </c>
    </row>
    <row r="44" spans="1:7" ht="13.5">
      <c r="A44" s="633" t="s">
        <v>417</v>
      </c>
      <c r="B44" s="633"/>
      <c r="C44" s="8"/>
      <c r="D44" s="507"/>
      <c r="E44" s="507"/>
      <c r="F44" s="507"/>
      <c r="G44" s="506"/>
    </row>
    <row r="45" spans="1:7" ht="13.5">
      <c r="A45" s="8"/>
      <c r="B45" s="8"/>
      <c r="C45" s="8" t="s">
        <v>412</v>
      </c>
      <c r="D45" s="507">
        <v>1</v>
      </c>
      <c r="E45" s="507" t="s">
        <v>51</v>
      </c>
      <c r="F45" s="508">
        <v>2500</v>
      </c>
      <c r="G45" s="508">
        <f>F45*D45</f>
        <v>2500</v>
      </c>
    </row>
    <row r="46" spans="1:7" ht="13.5">
      <c r="A46" s="8"/>
      <c r="B46" s="8"/>
      <c r="C46" s="8"/>
      <c r="D46" s="8"/>
      <c r="E46" s="8"/>
      <c r="F46" s="8"/>
      <c r="G46" s="8"/>
    </row>
    <row r="47" spans="1:7" ht="15">
      <c r="A47" s="8"/>
      <c r="B47" s="8"/>
      <c r="C47" s="8"/>
      <c r="D47" s="8"/>
      <c r="E47" s="8"/>
      <c r="F47" s="512" t="s">
        <v>5</v>
      </c>
      <c r="G47" s="513">
        <f>SUM(G37:G45)</f>
        <v>100250</v>
      </c>
    </row>
    <row r="48" spans="1:7" ht="15">
      <c r="A48" s="8"/>
      <c r="B48" s="8"/>
      <c r="C48" s="514"/>
      <c r="D48" s="8"/>
      <c r="E48" s="515" t="s">
        <v>418</v>
      </c>
      <c r="F48" s="516">
        <f>G47</f>
        <v>100250</v>
      </c>
      <c r="G48" s="8"/>
    </row>
    <row r="54" spans="2:7" ht="18.75">
      <c r="B54" s="634" t="s">
        <v>419</v>
      </c>
      <c r="C54" s="634"/>
      <c r="D54" s="634"/>
      <c r="E54" s="634"/>
      <c r="F54" s="634"/>
      <c r="G54" s="634"/>
    </row>
    <row r="55" spans="4:6" ht="27.75">
      <c r="D55" s="517">
        <f>B7</f>
        <v>63</v>
      </c>
      <c r="F55" s="503"/>
    </row>
    <row r="56" spans="2:4" ht="28.5" thickBot="1">
      <c r="B56" s="471"/>
      <c r="D56" s="517"/>
    </row>
    <row r="57" spans="1:6" ht="14.25" thickBot="1" thickTop="1">
      <c r="A57" s="518" t="s">
        <v>2</v>
      </c>
      <c r="B57" s="519" t="s">
        <v>3</v>
      </c>
      <c r="C57" s="520" t="s">
        <v>1</v>
      </c>
      <c r="D57" s="475" t="s">
        <v>384</v>
      </c>
      <c r="E57" s="475" t="s">
        <v>385</v>
      </c>
      <c r="F57" s="521" t="s">
        <v>68</v>
      </c>
    </row>
    <row r="58" spans="1:6" ht="13.5" thickTop="1">
      <c r="A58" s="522"/>
      <c r="B58" s="523"/>
      <c r="C58" s="523"/>
      <c r="D58" s="524"/>
      <c r="E58" s="525"/>
      <c r="F58" s="526"/>
    </row>
    <row r="59" spans="1:6" ht="12.75">
      <c r="A59" s="527">
        <f>(4*$D$55)/24</f>
        <v>10.5</v>
      </c>
      <c r="B59" s="528" t="s">
        <v>420</v>
      </c>
      <c r="C59" s="529" t="s">
        <v>421</v>
      </c>
      <c r="D59" s="530">
        <v>1800</v>
      </c>
      <c r="E59" s="531">
        <f>D59*A59</f>
        <v>18900</v>
      </c>
      <c r="F59" s="532">
        <f>E59/$F$7</f>
        <v>907.3451752280365</v>
      </c>
    </row>
    <row r="60" spans="1:6" ht="12.75">
      <c r="A60" s="527">
        <f>(6*$D$55)/20</f>
        <v>18.9</v>
      </c>
      <c r="B60" s="528" t="s">
        <v>420</v>
      </c>
      <c r="C60" s="529" t="s">
        <v>422</v>
      </c>
      <c r="D60" s="530">
        <v>1500</v>
      </c>
      <c r="E60" s="531">
        <f>D60*A60</f>
        <v>28349.999999999996</v>
      </c>
      <c r="F60" s="532">
        <f>E60/$F$7</f>
        <v>1361.0177628420547</v>
      </c>
    </row>
    <row r="61" spans="1:6" ht="12.75">
      <c r="A61" s="527">
        <f>(2*$D$55)/24</f>
        <v>5.25</v>
      </c>
      <c r="B61" s="528" t="s">
        <v>420</v>
      </c>
      <c r="C61" s="529" t="s">
        <v>423</v>
      </c>
      <c r="D61" s="530">
        <v>1500</v>
      </c>
      <c r="E61" s="531">
        <f>D61*A61</f>
        <v>7875</v>
      </c>
      <c r="F61" s="532">
        <f>E61/$F$7</f>
        <v>378.0604896783486</v>
      </c>
    </row>
    <row r="62" spans="1:6" ht="12.75">
      <c r="A62" s="527">
        <f>(1*$D$55)/20</f>
        <v>3.15</v>
      </c>
      <c r="B62" s="528" t="s">
        <v>420</v>
      </c>
      <c r="C62" s="529" t="s">
        <v>424</v>
      </c>
      <c r="D62" s="530">
        <v>1500</v>
      </c>
      <c r="E62" s="531">
        <f>D62*A62</f>
        <v>4725</v>
      </c>
      <c r="F62" s="532">
        <f>E62/$F$7</f>
        <v>226.83629380700913</v>
      </c>
    </row>
    <row r="63" spans="1:6" ht="13.5" thickBot="1">
      <c r="A63" s="498"/>
      <c r="B63" s="499"/>
      <c r="C63" s="533" t="s">
        <v>56</v>
      </c>
      <c r="D63" s="534"/>
      <c r="E63" s="535">
        <f>SUM(E59:E62)</f>
        <v>59850</v>
      </c>
      <c r="F63" s="536">
        <f>E63/$F$7</f>
        <v>2873.2597215554492</v>
      </c>
    </row>
    <row r="64" ht="13.5" thickTop="1"/>
  </sheetData>
  <sheetProtection/>
  <mergeCells count="7">
    <mergeCell ref="A44:B44"/>
    <mergeCell ref="B54:G54"/>
    <mergeCell ref="A5:E5"/>
    <mergeCell ref="A6:E6"/>
    <mergeCell ref="A34:C34"/>
    <mergeCell ref="A40:B40"/>
    <mergeCell ref="A42:B42"/>
  </mergeCells>
  <printOptions horizontalCentered="1" verticalCentered="1"/>
  <pageMargins left="0.7874015748031497" right="0.7874015748031497" top="0.7874015748031497" bottom="0.984251968503937" header="0.5905511811023623" footer="0.5905511811023623"/>
  <pageSetup fitToHeight="1" fitToWidth="1" horizontalDpi="180" verticalDpi="180" orientation="landscape" scale="57" r:id="rId1"/>
  <headerFooter alignWithMargins="0">
    <oddHeader>&amp;LProyecto de Letrinificacion
Estudio de Factibilidad 2,008&amp;RComunidad Mongallo/Negrowas
Municipio Siuna RAAN</oddHeader>
    <oddFooter>&amp;L&amp;F
&amp;D&amp;C&amp;P&amp;R
APLV - Rio Blanco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M42"/>
  <sheetViews>
    <sheetView workbookViewId="0" topLeftCell="A1">
      <selection activeCell="E16" sqref="E16"/>
    </sheetView>
  </sheetViews>
  <sheetFormatPr defaultColWidth="11.57421875" defaultRowHeight="12.75"/>
  <cols>
    <col min="1" max="1" width="9.421875" style="1" customWidth="1"/>
    <col min="2" max="2" width="47.8515625" style="1" customWidth="1"/>
    <col min="3" max="3" width="17.00390625" style="1" customWidth="1"/>
    <col min="4" max="4" width="16.8515625" style="1" customWidth="1"/>
    <col min="5" max="5" width="11.421875" style="1" customWidth="1"/>
    <col min="6" max="16384" width="9.140625" style="1" customWidth="1"/>
  </cols>
  <sheetData>
    <row r="1" s="555" customFormat="1" ht="12.75"/>
    <row r="3" spans="1:4" ht="12.75">
      <c r="A3" s="537" t="s">
        <v>426</v>
      </c>
      <c r="B3" s="538"/>
      <c r="C3" s="538"/>
      <c r="D3" s="538"/>
    </row>
    <row r="4" spans="1:4" ht="12.75">
      <c r="A4" s="537" t="s">
        <v>427</v>
      </c>
      <c r="B4" s="538"/>
      <c r="C4" s="538"/>
      <c r="D4" s="538"/>
    </row>
    <row r="5" spans="3:5" ht="13.5" thickBot="1">
      <c r="C5" s="1" t="str">
        <f>'[4]consol obra JAIME'!C4</f>
        <v>Tipo de Cambio 08 de Julio 2008</v>
      </c>
      <c r="E5" s="539">
        <v>20.83</v>
      </c>
    </row>
    <row r="6" spans="1:4" s="3" customFormat="1" ht="25.5">
      <c r="A6" s="540" t="s">
        <v>59</v>
      </c>
      <c r="B6" s="541" t="s">
        <v>60</v>
      </c>
      <c r="C6" s="542" t="s">
        <v>61</v>
      </c>
      <c r="D6" s="543" t="s">
        <v>62</v>
      </c>
    </row>
    <row r="7" spans="1:4" ht="12.75">
      <c r="A7" s="544">
        <v>1</v>
      </c>
      <c r="B7" s="571" t="s">
        <v>6</v>
      </c>
      <c r="C7" s="546">
        <f>'[3]consol global de Let.'!C5</f>
        <v>216360.9</v>
      </c>
      <c r="D7" s="547">
        <f>C7/$E$5</f>
        <v>10386.98511761882</v>
      </c>
    </row>
    <row r="8" spans="1:4" ht="12.75">
      <c r="A8" s="544">
        <f>A7+1</f>
        <v>2</v>
      </c>
      <c r="B8" s="545" t="s">
        <v>428</v>
      </c>
      <c r="C8" s="546">
        <f>'[3]consol global de Let.'!C6</f>
        <v>100250</v>
      </c>
      <c r="D8" s="547">
        <f>C8/$E$5</f>
        <v>4812.770043206913</v>
      </c>
    </row>
    <row r="9" spans="1:4" ht="12.75">
      <c r="A9" s="544">
        <f>A8+1</f>
        <v>3</v>
      </c>
      <c r="B9" s="545" t="s">
        <v>429</v>
      </c>
      <c r="C9" s="546">
        <f>'[3]consol global de Let.'!C7</f>
        <v>43547.49</v>
      </c>
      <c r="D9" s="547">
        <f>C9/$E$5</f>
        <v>2090.614018242919</v>
      </c>
    </row>
    <row r="10" spans="1:4" ht="12.75">
      <c r="A10" s="544">
        <f>A9+1</f>
        <v>4</v>
      </c>
      <c r="B10" s="545" t="s">
        <v>18</v>
      </c>
      <c r="C10" s="546">
        <f>'[3]consol global de Let.'!C8</f>
        <v>59850</v>
      </c>
      <c r="D10" s="547">
        <f>C10/$E$5</f>
        <v>2873.2597215554492</v>
      </c>
    </row>
    <row r="11" spans="1:4" ht="12.75">
      <c r="A11" s="544"/>
      <c r="B11" s="548" t="s">
        <v>430</v>
      </c>
      <c r="C11" s="549">
        <f>SUM(C7:C10)</f>
        <v>420008.39</v>
      </c>
      <c r="D11" s="550">
        <f>SUM(D7:D10)</f>
        <v>20163.628900624102</v>
      </c>
    </row>
    <row r="12" spans="1:5" ht="12.75">
      <c r="A12" s="551">
        <v>5</v>
      </c>
      <c r="B12" s="552" t="s">
        <v>431</v>
      </c>
      <c r="C12" s="553">
        <f>'[3]consol global de Let.'!C9</f>
        <v>54306</v>
      </c>
      <c r="D12" s="554">
        <f>SUM(C12/E5)</f>
        <v>2607.105136821892</v>
      </c>
      <c r="E12" s="555"/>
    </row>
    <row r="13" spans="1:4" ht="12.75">
      <c r="A13" s="551"/>
      <c r="B13" s="552"/>
      <c r="C13" s="553"/>
      <c r="D13" s="554"/>
    </row>
    <row r="14" spans="1:4" s="560" customFormat="1" ht="13.5" thickBot="1">
      <c r="A14" s="556"/>
      <c r="B14" s="557" t="s">
        <v>432</v>
      </c>
      <c r="C14" s="558">
        <f>SUM(C11:C12)</f>
        <v>474314.39</v>
      </c>
      <c r="D14" s="559">
        <f>SUM(D11:D12)</f>
        <v>22770.734037445993</v>
      </c>
    </row>
    <row r="15" ht="12.75">
      <c r="D15" s="561"/>
    </row>
    <row r="17" spans="2:4" ht="12.75">
      <c r="B17" s="562" t="s">
        <v>433</v>
      </c>
      <c r="C17" s="562"/>
      <c r="D17" s="563"/>
    </row>
    <row r="18" spans="2:4" ht="12.75">
      <c r="B18" s="562" t="s">
        <v>434</v>
      </c>
      <c r="C18" s="564" t="s">
        <v>2</v>
      </c>
      <c r="D18" s="563"/>
    </row>
    <row r="19" spans="2:4" ht="12.75">
      <c r="B19" s="382" t="s">
        <v>435</v>
      </c>
      <c r="C19" s="565">
        <v>63</v>
      </c>
      <c r="D19" s="563"/>
    </row>
    <row r="20" spans="2:4" ht="12.75">
      <c r="B20" s="382" t="s">
        <v>436</v>
      </c>
      <c r="C20" s="565">
        <v>520</v>
      </c>
      <c r="D20" s="563"/>
    </row>
    <row r="21" spans="2:4" ht="12.75">
      <c r="B21" s="562" t="s">
        <v>437</v>
      </c>
      <c r="C21" s="564" t="s">
        <v>438</v>
      </c>
      <c r="D21" s="563"/>
    </row>
    <row r="22" spans="2:4" ht="12.75">
      <c r="B22" s="382" t="s">
        <v>439</v>
      </c>
      <c r="C22" s="566">
        <f>SUM(D14/C19)</f>
        <v>361.44022281660307</v>
      </c>
      <c r="D22" s="563"/>
    </row>
    <row r="23" spans="2:4" ht="12.75">
      <c r="B23" s="382" t="s">
        <v>440</v>
      </c>
      <c r="C23" s="567">
        <f>SUM(D14/C20)</f>
        <v>43.7898731489346</v>
      </c>
      <c r="D23" s="563"/>
    </row>
    <row r="24" spans="2:4" ht="12.75">
      <c r="B24" s="563"/>
      <c r="C24" s="563"/>
      <c r="D24" s="563"/>
    </row>
    <row r="25" spans="2:4" ht="12.75">
      <c r="B25" s="563"/>
      <c r="C25" s="563"/>
      <c r="D25" s="563"/>
    </row>
    <row r="26" spans="1:13" ht="18">
      <c r="A26" s="568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13" ht="12.75">
      <c r="A27" s="555"/>
      <c r="B27" s="569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1:13" ht="12.75">
      <c r="A28" s="555"/>
      <c r="B28" s="569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  <row r="29" spans="1:13" s="570" customFormat="1" ht="12.7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1:13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9" ht="12.75">
      <c r="A39" s="3" t="s">
        <v>441</v>
      </c>
    </row>
    <row r="40" ht="12.75">
      <c r="A40" s="1" t="s">
        <v>442</v>
      </c>
    </row>
    <row r="41" ht="12.75">
      <c r="A41" s="1" t="s">
        <v>443</v>
      </c>
    </row>
    <row r="42" ht="12.75">
      <c r="A42" s="1" t="s">
        <v>444</v>
      </c>
    </row>
  </sheetData>
  <sheetProtection/>
  <printOptions horizontalCentered="1"/>
  <pageMargins left="0.4330708661417323" right="0.7874015748031497" top="0.6299212598425197" bottom="0.8661417322834646" header="0.2362204724409449" footer="0.5118110236220472"/>
  <pageSetup horizontalDpi="360" verticalDpi="360" orientation="landscape" scale="85" r:id="rId1"/>
  <headerFooter alignWithMargins="0">
    <oddHeader>&amp;LProyecto de Letrinificacion
Estudio de Factibilidad 2,008&amp;RComunidad Mongallo/Negrowas
Municipio Siuna RAAN</oddHeader>
    <oddFooter>&amp;L&amp;F
&amp;D&amp;C&amp;P&amp;RAPLV-Rio Blanco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I15"/>
  <sheetViews>
    <sheetView workbookViewId="0" topLeftCell="A1">
      <selection activeCell="D26" sqref="D26"/>
    </sheetView>
  </sheetViews>
  <sheetFormatPr defaultColWidth="11.421875" defaultRowHeight="12.75"/>
  <cols>
    <col min="1" max="1" width="10.140625" style="0" customWidth="1"/>
    <col min="2" max="2" width="31.57421875" style="0" customWidth="1"/>
    <col min="3" max="3" width="20.57421875" style="0" customWidth="1"/>
    <col min="4" max="6" width="21.57421875" style="0" customWidth="1"/>
    <col min="7" max="7" width="21.00390625" style="0" customWidth="1"/>
  </cols>
  <sheetData>
    <row r="1" spans="1:9" ht="15.75">
      <c r="A1" s="621" t="s">
        <v>278</v>
      </c>
      <c r="B1" s="621"/>
      <c r="C1" s="621"/>
      <c r="D1" s="621"/>
      <c r="E1" s="621"/>
      <c r="F1" s="621"/>
      <c r="G1" s="621"/>
      <c r="H1" s="621"/>
      <c r="I1" s="621"/>
    </row>
    <row r="2" spans="1:9" ht="15.75">
      <c r="A2" s="621" t="s">
        <v>283</v>
      </c>
      <c r="B2" s="621"/>
      <c r="C2" s="621"/>
      <c r="D2" s="621"/>
      <c r="E2" s="621"/>
      <c r="F2" s="621"/>
      <c r="G2" s="621"/>
      <c r="H2" s="621"/>
      <c r="I2" s="621"/>
    </row>
    <row r="3" spans="1:9" ht="15.75">
      <c r="A3" s="621" t="s">
        <v>284</v>
      </c>
      <c r="B3" s="621"/>
      <c r="C3" s="621"/>
      <c r="D3" s="621"/>
      <c r="E3" s="621"/>
      <c r="F3" s="621"/>
      <c r="G3" s="621"/>
      <c r="H3" s="621"/>
      <c r="I3" s="621"/>
    </row>
    <row r="4" spans="1:9" ht="15.75">
      <c r="A4" s="639" t="s">
        <v>456</v>
      </c>
      <c r="B4" s="601"/>
      <c r="C4" s="601"/>
      <c r="D4" s="601"/>
      <c r="E4" s="601"/>
      <c r="F4" s="601"/>
      <c r="G4" s="601"/>
      <c r="H4" s="601"/>
      <c r="I4" s="1"/>
    </row>
    <row r="5" spans="1:9" ht="15">
      <c r="A5" s="625"/>
      <c r="B5" s="625"/>
      <c r="C5" s="625"/>
      <c r="D5" s="625"/>
      <c r="E5" s="625"/>
      <c r="F5" s="625"/>
      <c r="G5" s="625"/>
      <c r="H5" s="625"/>
      <c r="I5" s="1"/>
    </row>
    <row r="6" spans="1:9" ht="13.5" thickBot="1">
      <c r="A6" s="3"/>
      <c r="B6" s="1"/>
      <c r="C6" s="624" t="s">
        <v>257</v>
      </c>
      <c r="D6" s="624"/>
      <c r="E6" s="72"/>
      <c r="F6" s="72"/>
      <c r="G6" s="10">
        <v>20.83</v>
      </c>
      <c r="H6" s="1"/>
      <c r="I6" s="1"/>
    </row>
    <row r="7" spans="1:9" ht="47.25">
      <c r="A7" s="93" t="s">
        <v>258</v>
      </c>
      <c r="B7" s="94" t="s">
        <v>1</v>
      </c>
      <c r="C7" s="96" t="s">
        <v>6</v>
      </c>
      <c r="D7" s="96" t="s">
        <v>58</v>
      </c>
      <c r="E7" s="96" t="s">
        <v>266</v>
      </c>
      <c r="F7" s="96" t="s">
        <v>447</v>
      </c>
      <c r="G7" s="95" t="s">
        <v>61</v>
      </c>
      <c r="H7" s="97" t="s">
        <v>313</v>
      </c>
      <c r="I7" s="2"/>
    </row>
    <row r="8" spans="1:9" ht="15.75">
      <c r="A8" s="638" t="s">
        <v>445</v>
      </c>
      <c r="B8" s="623"/>
      <c r="C8" s="282"/>
      <c r="D8" s="282"/>
      <c r="E8" s="282"/>
      <c r="F8" s="282"/>
      <c r="G8" s="283"/>
      <c r="H8" s="284"/>
      <c r="I8" s="2"/>
    </row>
    <row r="9" spans="1:9" ht="15">
      <c r="A9" s="99">
        <v>1</v>
      </c>
      <c r="B9" s="573" t="s">
        <v>6</v>
      </c>
      <c r="C9" s="285">
        <f>'consol de Let. Carmen'!C7</f>
        <v>216360.9</v>
      </c>
      <c r="D9" s="285"/>
      <c r="E9" s="285"/>
      <c r="F9" s="285"/>
      <c r="G9" s="33">
        <f>SUM(C9:D9)</f>
        <v>216360.9</v>
      </c>
      <c r="H9" s="317">
        <v>10387</v>
      </c>
      <c r="I9" s="79"/>
    </row>
    <row r="10" spans="1:9" ht="15">
      <c r="A10" s="99">
        <v>2</v>
      </c>
      <c r="B10" s="573" t="s">
        <v>428</v>
      </c>
      <c r="C10" s="285">
        <f>'consol de Let. Carmen'!C8</f>
        <v>100250</v>
      </c>
      <c r="D10" s="285"/>
      <c r="E10" s="285"/>
      <c r="F10" s="285"/>
      <c r="G10" s="33">
        <f>SUM(C10:F10)</f>
        <v>100250</v>
      </c>
      <c r="H10" s="317">
        <v>4813</v>
      </c>
      <c r="I10" s="79"/>
    </row>
    <row r="11" spans="1:9" ht="15">
      <c r="A11" s="99">
        <v>3</v>
      </c>
      <c r="B11" s="573" t="s">
        <v>429</v>
      </c>
      <c r="C11" s="285"/>
      <c r="D11" s="285">
        <f>'consol de Let. Carmen'!C9</f>
        <v>43547.49</v>
      </c>
      <c r="E11" s="285"/>
      <c r="F11" s="285"/>
      <c r="G11" s="33">
        <f>SUM(D11)</f>
        <v>43547.49</v>
      </c>
      <c r="H11" s="317">
        <v>2091</v>
      </c>
      <c r="I11" s="79"/>
    </row>
    <row r="12" spans="1:9" ht="15">
      <c r="A12" s="99">
        <v>4</v>
      </c>
      <c r="B12" s="573" t="s">
        <v>18</v>
      </c>
      <c r="C12" s="285">
        <f>'consol de Let. Carmen'!C10</f>
        <v>59850</v>
      </c>
      <c r="D12" s="285"/>
      <c r="E12" s="285"/>
      <c r="F12" s="285"/>
      <c r="G12" s="33">
        <f>SUM(C12)</f>
        <v>59850</v>
      </c>
      <c r="H12" s="317">
        <v>2873</v>
      </c>
      <c r="I12" s="79"/>
    </row>
    <row r="13" spans="1:9" ht="15">
      <c r="A13" s="103">
        <v>5</v>
      </c>
      <c r="B13" s="573" t="s">
        <v>266</v>
      </c>
      <c r="C13" s="576"/>
      <c r="D13" s="285"/>
      <c r="E13" s="285">
        <f>'consol de Let. Carmen'!C12</f>
        <v>54306</v>
      </c>
      <c r="F13" s="285"/>
      <c r="G13" s="33">
        <f>E13</f>
        <v>54306</v>
      </c>
      <c r="H13" s="317">
        <v>2607</v>
      </c>
      <c r="I13" s="79"/>
    </row>
    <row r="14" spans="1:9" ht="15.75" thickBot="1">
      <c r="A14" s="572">
        <v>6</v>
      </c>
      <c r="B14" s="573" t="s">
        <v>446</v>
      </c>
      <c r="C14" s="574"/>
      <c r="D14" s="574"/>
      <c r="E14" s="574"/>
      <c r="F14" s="574">
        <v>150000</v>
      </c>
      <c r="G14" s="575">
        <f>SUM(F14)</f>
        <v>150000</v>
      </c>
      <c r="H14" s="317">
        <f>G14/G6</f>
        <v>7201.152184349497</v>
      </c>
      <c r="I14" s="79"/>
    </row>
    <row r="15" spans="1:9" ht="17.25" thickBot="1" thickTop="1">
      <c r="A15" s="198"/>
      <c r="B15" s="466" t="s">
        <v>299</v>
      </c>
      <c r="C15" s="91">
        <f>SUM(C9:C13)</f>
        <v>376460.9</v>
      </c>
      <c r="D15" s="91">
        <f>SUM(D9:D13)</f>
        <v>43547.49</v>
      </c>
      <c r="E15" s="91">
        <f>SUM(E9:E14)</f>
        <v>54306</v>
      </c>
      <c r="F15" s="91">
        <f>SUM(F11:F14)</f>
        <v>150000</v>
      </c>
      <c r="G15" s="91">
        <f>SUM(G9:G14)</f>
        <v>624314.39</v>
      </c>
      <c r="H15" s="318">
        <f>SUM(H9:H14)</f>
        <v>29972.152184349496</v>
      </c>
      <c r="I15" s="48"/>
    </row>
    <row r="16" ht="13.5" thickTop="1"/>
  </sheetData>
  <mergeCells count="7">
    <mergeCell ref="A5:H5"/>
    <mergeCell ref="C6:D6"/>
    <mergeCell ref="A8:B8"/>
    <mergeCell ref="A1:I1"/>
    <mergeCell ref="A2:I2"/>
    <mergeCell ref="A3:I3"/>
    <mergeCell ref="A4:H4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2"/>
  </sheetPr>
  <dimension ref="A1:E24"/>
  <sheetViews>
    <sheetView zoomScalePageLayoutView="0" workbookViewId="0" topLeftCell="B1">
      <selection activeCell="D21" sqref="D21"/>
    </sheetView>
  </sheetViews>
  <sheetFormatPr defaultColWidth="11.421875" defaultRowHeight="12.75"/>
  <cols>
    <col min="1" max="1" width="8.421875" style="0" customWidth="1"/>
    <col min="2" max="2" width="81.421875" style="0" customWidth="1"/>
    <col min="3" max="3" width="18.57421875" style="0" customWidth="1"/>
    <col min="4" max="4" width="16.8515625" style="0" customWidth="1"/>
    <col min="5" max="5" width="15.00390625" style="0" customWidth="1"/>
  </cols>
  <sheetData>
    <row r="1" spans="1:4" ht="15.75">
      <c r="A1" s="150" t="s">
        <v>278</v>
      </c>
      <c r="B1" s="150"/>
      <c r="C1" s="150"/>
      <c r="D1" s="150"/>
    </row>
    <row r="2" spans="1:4" ht="15.75">
      <c r="A2" s="150" t="s">
        <v>283</v>
      </c>
      <c r="B2" s="150"/>
      <c r="C2" s="150"/>
      <c r="D2" s="150"/>
    </row>
    <row r="3" spans="1:4" ht="15.75">
      <c r="A3" s="150" t="s">
        <v>284</v>
      </c>
      <c r="B3" s="150"/>
      <c r="C3" s="150"/>
      <c r="D3" s="150"/>
    </row>
    <row r="5" spans="1:4" ht="15.75">
      <c r="A5" s="640" t="s">
        <v>448</v>
      </c>
      <c r="B5" s="641"/>
      <c r="C5" s="641"/>
      <c r="D5" s="641"/>
    </row>
    <row r="6" spans="1:4" ht="15.75">
      <c r="A6" s="641" t="s">
        <v>360</v>
      </c>
      <c r="B6" s="641"/>
      <c r="C6" s="641"/>
      <c r="D6" s="641"/>
    </row>
    <row r="7" spans="1:5" ht="17.25" thickBot="1">
      <c r="A7" s="8"/>
      <c r="B7" s="8"/>
      <c r="C7" s="8"/>
      <c r="D7" s="367" t="s">
        <v>353</v>
      </c>
      <c r="E7" s="392">
        <v>20.2366</v>
      </c>
    </row>
    <row r="8" spans="1:4" s="2" customFormat="1" ht="31.5">
      <c r="A8" s="397" t="s">
        <v>59</v>
      </c>
      <c r="B8" s="398" t="s">
        <v>60</v>
      </c>
      <c r="C8" s="399" t="s">
        <v>61</v>
      </c>
      <c r="D8" s="400" t="s">
        <v>62</v>
      </c>
    </row>
    <row r="9" spans="1:4" s="2" customFormat="1" ht="15.75">
      <c r="A9" s="193"/>
      <c r="B9" s="381" t="s">
        <v>276</v>
      </c>
      <c r="C9" s="217"/>
      <c r="D9" s="390"/>
    </row>
    <row r="10" spans="1:4" s="2" customFormat="1" ht="15">
      <c r="A10" s="193">
        <v>1</v>
      </c>
      <c r="B10" s="379" t="s">
        <v>277</v>
      </c>
      <c r="C10" s="217">
        <v>20000</v>
      </c>
      <c r="D10" s="390">
        <f>SUM(C10/E7)</f>
        <v>988.3083126612179</v>
      </c>
    </row>
    <row r="11" spans="1:4" s="2" customFormat="1" ht="15">
      <c r="A11" s="193">
        <v>2</v>
      </c>
      <c r="B11" s="379" t="s">
        <v>340</v>
      </c>
      <c r="C11" s="217">
        <f>'COSTO TOTAL PROY'!C18</f>
        <v>314274.398</v>
      </c>
      <c r="D11" s="390">
        <f>SUM(C11/E7)</f>
        <v>15530</v>
      </c>
    </row>
    <row r="12" spans="1:4" s="2" customFormat="1" ht="15">
      <c r="A12" s="193">
        <v>3</v>
      </c>
      <c r="B12" s="467" t="s">
        <v>452</v>
      </c>
      <c r="C12" s="217">
        <f>'COSTO TOTAL PROY'!C19</f>
        <v>88425.94</v>
      </c>
      <c r="D12" s="390">
        <f>SUM(C12/E7)</f>
        <v>4369.604577844105</v>
      </c>
    </row>
    <row r="13" spans="1:4" s="2" customFormat="1" ht="15.75">
      <c r="A13" s="193"/>
      <c r="B13" s="196" t="s">
        <v>281</v>
      </c>
      <c r="C13" s="393">
        <f>SUM(C10:C12)</f>
        <v>422700.338</v>
      </c>
      <c r="D13" s="391">
        <f>SUM(D10:D12)</f>
        <v>20887.912890505322</v>
      </c>
    </row>
    <row r="14" spans="1:4" s="2" customFormat="1" ht="15.75">
      <c r="A14" s="193"/>
      <c r="B14" s="381" t="s">
        <v>336</v>
      </c>
      <c r="C14" s="217"/>
      <c r="D14" s="390"/>
    </row>
    <row r="15" spans="1:5" s="2" customFormat="1" ht="15">
      <c r="A15" s="193">
        <v>4</v>
      </c>
      <c r="B15" s="82" t="s">
        <v>307</v>
      </c>
      <c r="C15" s="217"/>
      <c r="E15" s="390">
        <v>5930</v>
      </c>
    </row>
    <row r="16" spans="1:4" s="2" customFormat="1" ht="15">
      <c r="A16" s="193">
        <v>5</v>
      </c>
      <c r="B16" s="87" t="s">
        <v>305</v>
      </c>
      <c r="C16" s="217">
        <v>50000</v>
      </c>
      <c r="D16" s="390">
        <f>SUM(C16/E7)</f>
        <v>2470.7707816530447</v>
      </c>
    </row>
    <row r="17" spans="1:4" s="2" customFormat="1" ht="30" customHeight="1">
      <c r="A17" s="193">
        <v>6</v>
      </c>
      <c r="B17" s="194" t="s">
        <v>303</v>
      </c>
      <c r="C17" s="217">
        <f>'[1]consol global JAIME'!$C$21</f>
        <v>60000</v>
      </c>
      <c r="D17" s="390">
        <f>SUM(C17/E7)</f>
        <v>2964.9249379836533</v>
      </c>
    </row>
    <row r="18" spans="1:4" s="2" customFormat="1" ht="15">
      <c r="A18" s="193">
        <v>7</v>
      </c>
      <c r="B18" s="82" t="s">
        <v>306</v>
      </c>
      <c r="C18" s="217">
        <v>15000</v>
      </c>
      <c r="D18" s="390">
        <f>SUM(C18/E7)</f>
        <v>741.2312344959133</v>
      </c>
    </row>
    <row r="19" spans="1:4" s="2" customFormat="1" ht="15">
      <c r="A19" s="193"/>
      <c r="B19" s="467" t="s">
        <v>455</v>
      </c>
      <c r="C19" s="217"/>
      <c r="D19" s="390">
        <v>228</v>
      </c>
    </row>
    <row r="20" spans="1:5" s="2" customFormat="1" ht="21" customHeight="1">
      <c r="A20" s="195"/>
      <c r="B20" s="196" t="s">
        <v>281</v>
      </c>
      <c r="C20" s="393">
        <f>SUM(C15:C18)</f>
        <v>125000</v>
      </c>
      <c r="D20" s="394">
        <f>SUM(D15:D19)</f>
        <v>6404.926954132612</v>
      </c>
      <c r="E20" s="106"/>
    </row>
    <row r="21" spans="1:4" s="2" customFormat="1" ht="21" customHeight="1">
      <c r="A21" s="213"/>
      <c r="B21" s="214" t="s">
        <v>361</v>
      </c>
      <c r="C21" s="395">
        <f>SUM(C13+C20)</f>
        <v>547700.338</v>
      </c>
      <c r="D21" s="396">
        <f>SUM(D13+D20)</f>
        <v>27292.839844637936</v>
      </c>
    </row>
    <row r="24" ht="12.75">
      <c r="E24" s="192"/>
    </row>
  </sheetData>
  <sheetProtection/>
  <mergeCells count="2">
    <mergeCell ref="A5:D5"/>
    <mergeCell ref="A6:D6"/>
  </mergeCells>
  <printOptions horizontalCentered="1" verticalCentered="1"/>
  <pageMargins left="0.54" right="0.18" top="0.7874015748031497" bottom="0.984251968503937" header="0.3937007874015748" footer="0.5905511811023623"/>
  <pageSetup horizontalDpi="360" verticalDpi="360" orientation="landscape" scale="65" r:id="rId1"/>
  <headerFooter alignWithMargins="0">
    <oddHeader>&amp;LProyecto de Letrinificacion
Estudio de Factibilidad 2,008&amp;RComunidad Mongallo/Negrowas
Municipio Siuna RAAN</oddHeader>
    <oddFooter>&amp;L&amp;F
&amp;D&amp;C&amp;P&amp;RAPLV-Rio Blanco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9"/>
  </sheetPr>
  <dimension ref="A1:J32"/>
  <sheetViews>
    <sheetView workbookViewId="0" topLeftCell="D1">
      <selection activeCell="F24" sqref="F24"/>
    </sheetView>
  </sheetViews>
  <sheetFormatPr defaultColWidth="11.57421875" defaultRowHeight="12.75"/>
  <cols>
    <col min="1" max="1" width="8.57421875" style="1" customWidth="1"/>
    <col min="2" max="2" width="60.140625" style="1" customWidth="1"/>
    <col min="3" max="4" width="17.28125" style="1" customWidth="1"/>
    <col min="5" max="5" width="19.28125" style="1" customWidth="1"/>
    <col min="6" max="6" width="16.8515625" style="1" customWidth="1"/>
    <col min="7" max="7" width="16.57421875" style="1" customWidth="1"/>
    <col min="8" max="16384" width="11.57421875" style="1" customWidth="1"/>
  </cols>
  <sheetData>
    <row r="1" spans="1:8" ht="15.75">
      <c r="A1" s="621" t="s">
        <v>278</v>
      </c>
      <c r="B1" s="621"/>
      <c r="C1" s="621"/>
      <c r="D1" s="621"/>
      <c r="E1" s="621"/>
      <c r="F1" s="621"/>
      <c r="G1" s="621"/>
      <c r="H1" s="621"/>
    </row>
    <row r="2" spans="1:8" ht="15.75">
      <c r="A2" s="621" t="s">
        <v>283</v>
      </c>
      <c r="B2" s="621"/>
      <c r="C2" s="621"/>
      <c r="D2" s="621"/>
      <c r="E2" s="621"/>
      <c r="F2" s="621"/>
      <c r="G2" s="621"/>
      <c r="H2" s="621"/>
    </row>
    <row r="3" spans="1:8" ht="15.75">
      <c r="A3" s="621" t="s">
        <v>284</v>
      </c>
      <c r="B3" s="621"/>
      <c r="C3" s="621"/>
      <c r="D3" s="621"/>
      <c r="E3" s="621"/>
      <c r="F3" s="621"/>
      <c r="G3" s="621"/>
      <c r="H3" s="621"/>
    </row>
    <row r="4" spans="1:7" ht="15.75">
      <c r="A4" s="601" t="s">
        <v>321</v>
      </c>
      <c r="B4" s="601"/>
      <c r="C4" s="601"/>
      <c r="D4" s="601"/>
      <c r="E4" s="601"/>
      <c r="F4" s="601"/>
      <c r="G4" s="601"/>
    </row>
    <row r="5" spans="1:7" ht="15.75" customHeight="1">
      <c r="A5" s="625"/>
      <c r="B5" s="625"/>
      <c r="C5" s="625"/>
      <c r="D5" s="625"/>
      <c r="E5" s="625"/>
      <c r="F5" s="625"/>
      <c r="G5" s="625"/>
    </row>
    <row r="6" spans="1:6" ht="19.5" customHeight="1" thickBot="1">
      <c r="A6" s="3"/>
      <c r="D6" s="624" t="s">
        <v>257</v>
      </c>
      <c r="E6" s="624"/>
      <c r="F6" s="10">
        <v>20.2366</v>
      </c>
    </row>
    <row r="7" spans="1:7" s="2" customFormat="1" ht="31.5">
      <c r="A7" s="93" t="s">
        <v>258</v>
      </c>
      <c r="B7" s="94" t="s">
        <v>1</v>
      </c>
      <c r="C7" s="95" t="s">
        <v>287</v>
      </c>
      <c r="D7" s="96" t="s">
        <v>6</v>
      </c>
      <c r="E7" s="96" t="s">
        <v>58</v>
      </c>
      <c r="F7" s="95" t="s">
        <v>61</v>
      </c>
      <c r="G7" s="97" t="s">
        <v>313</v>
      </c>
    </row>
    <row r="8" spans="1:7" s="2" customFormat="1" ht="15.75">
      <c r="A8" s="622" t="s">
        <v>282</v>
      </c>
      <c r="B8" s="623"/>
      <c r="C8" s="98"/>
      <c r="D8" s="282"/>
      <c r="E8" s="282"/>
      <c r="F8" s="283"/>
      <c r="G8" s="284"/>
    </row>
    <row r="9" spans="1:8" s="2" customFormat="1" ht="15" customHeight="1">
      <c r="A9" s="99">
        <v>1</v>
      </c>
      <c r="B9" s="100" t="s">
        <v>268</v>
      </c>
      <c r="C9" s="101">
        <v>1</v>
      </c>
      <c r="D9" s="285">
        <f>'Det. OBRA ALCALDIA  '!F36</f>
        <v>97398</v>
      </c>
      <c r="E9" s="285">
        <f>'Det. OBRA ALCALDIA  '!F45</f>
        <v>4480.38</v>
      </c>
      <c r="F9" s="33">
        <f>SUM(D9:E9)</f>
        <v>101878.38</v>
      </c>
      <c r="G9" s="317">
        <f>SUM(F9/F6)</f>
        <v>5034.362491722918</v>
      </c>
      <c r="H9" s="79"/>
    </row>
    <row r="10" spans="1:8" s="2" customFormat="1" ht="15" customHeight="1">
      <c r="A10" s="99">
        <v>2</v>
      </c>
      <c r="B10" s="100" t="s">
        <v>267</v>
      </c>
      <c r="C10" s="101">
        <v>2</v>
      </c>
      <c r="D10" s="285">
        <v>0</v>
      </c>
      <c r="E10" s="285"/>
      <c r="F10" s="33">
        <f>SUM(E10:E10)</f>
        <v>0</v>
      </c>
      <c r="G10" s="317">
        <f>SUM(F10/F6)</f>
        <v>0</v>
      </c>
      <c r="H10" s="79"/>
    </row>
    <row r="11" spans="1:8" s="2" customFormat="1" ht="15" customHeight="1">
      <c r="A11" s="99">
        <v>3</v>
      </c>
      <c r="B11" s="100" t="s">
        <v>183</v>
      </c>
      <c r="C11" s="102" t="s">
        <v>186</v>
      </c>
      <c r="D11" s="285">
        <v>0</v>
      </c>
      <c r="E11" s="285"/>
      <c r="F11" s="33">
        <v>0</v>
      </c>
      <c r="G11" s="317">
        <v>0</v>
      </c>
      <c r="H11" s="79"/>
    </row>
    <row r="12" spans="1:8" s="2" customFormat="1" ht="15" customHeight="1">
      <c r="A12" s="99">
        <v>4</v>
      </c>
      <c r="B12" s="100" t="s">
        <v>184</v>
      </c>
      <c r="C12" s="102" t="s">
        <v>187</v>
      </c>
      <c r="D12" s="285">
        <v>0</v>
      </c>
      <c r="E12" s="285"/>
      <c r="F12" s="33">
        <v>0</v>
      </c>
      <c r="G12" s="317">
        <v>0</v>
      </c>
      <c r="H12" s="79"/>
    </row>
    <row r="13" spans="1:8" s="2" customFormat="1" ht="15" customHeight="1">
      <c r="A13" s="99">
        <v>5</v>
      </c>
      <c r="B13" s="100" t="s">
        <v>188</v>
      </c>
      <c r="C13" s="102" t="s">
        <v>189</v>
      </c>
      <c r="D13" s="285">
        <v>0</v>
      </c>
      <c r="E13" s="285"/>
      <c r="F13" s="33">
        <v>0</v>
      </c>
      <c r="G13" s="317">
        <v>0</v>
      </c>
      <c r="H13" s="79"/>
    </row>
    <row r="14" spans="1:8" s="2" customFormat="1" ht="15" customHeight="1">
      <c r="A14" s="84">
        <v>6</v>
      </c>
      <c r="B14" s="82" t="s">
        <v>269</v>
      </c>
      <c r="C14" s="85" t="s">
        <v>259</v>
      </c>
      <c r="D14" s="285">
        <v>0</v>
      </c>
      <c r="E14" s="285"/>
      <c r="F14" s="33">
        <v>0</v>
      </c>
      <c r="G14" s="317">
        <v>0</v>
      </c>
      <c r="H14" s="79"/>
    </row>
    <row r="15" spans="1:8" s="2" customFormat="1" ht="15" customHeight="1">
      <c r="A15" s="84">
        <v>7</v>
      </c>
      <c r="B15" s="82" t="s">
        <v>322</v>
      </c>
      <c r="C15" s="85" t="s">
        <v>259</v>
      </c>
      <c r="D15" s="285">
        <f>'Det. OBRA ALCALDIA  '!F56</f>
        <v>76520</v>
      </c>
      <c r="E15" s="285">
        <v>0</v>
      </c>
      <c r="F15" s="33">
        <f>SUM(D15:E15)</f>
        <v>76520</v>
      </c>
      <c r="G15" s="317">
        <f>SUM(F15/F6)</f>
        <v>3781.2676042418193</v>
      </c>
      <c r="H15" s="79"/>
    </row>
    <row r="16" spans="1:8" s="2" customFormat="1" ht="15" customHeight="1">
      <c r="A16" s="84">
        <v>8</v>
      </c>
      <c r="B16" s="82" t="s">
        <v>327</v>
      </c>
      <c r="C16" s="85" t="s">
        <v>330</v>
      </c>
      <c r="D16" s="285"/>
      <c r="E16" s="285"/>
      <c r="F16" s="33"/>
      <c r="G16" s="317"/>
      <c r="H16" s="79"/>
    </row>
    <row r="17" spans="1:8" s="2" customFormat="1" ht="15" customHeight="1">
      <c r="A17" s="84">
        <v>9</v>
      </c>
      <c r="B17" s="82" t="s">
        <v>272</v>
      </c>
      <c r="C17" s="85">
        <v>5</v>
      </c>
      <c r="D17" s="285">
        <f>'Det. OBRA ALCALDIA  '!F73</f>
        <v>1460</v>
      </c>
      <c r="E17" s="285"/>
      <c r="F17" s="33">
        <f>SUM(D17:E17)</f>
        <v>1460</v>
      </c>
      <c r="G17" s="317">
        <f>SUM(F17/F6)</f>
        <v>72.1465068242689</v>
      </c>
      <c r="H17" s="79"/>
    </row>
    <row r="18" spans="1:8" s="2" customFormat="1" ht="15" customHeight="1">
      <c r="A18" s="84">
        <v>10</v>
      </c>
      <c r="B18" s="82" t="s">
        <v>273</v>
      </c>
      <c r="C18" s="85">
        <v>4</v>
      </c>
      <c r="D18" s="285">
        <f>'Det. OBRA ALCALDIA  '!F68</f>
        <v>7482</v>
      </c>
      <c r="E18" s="285">
        <v>0</v>
      </c>
      <c r="F18" s="33">
        <f>SUM(D18:E18)</f>
        <v>7482</v>
      </c>
      <c r="G18" s="317">
        <f>SUM(F18/F6)</f>
        <v>369.7261397665616</v>
      </c>
      <c r="H18" s="79"/>
    </row>
    <row r="19" spans="1:8" s="2" customFormat="1" ht="15" customHeight="1">
      <c r="A19" s="99">
        <v>11</v>
      </c>
      <c r="B19" s="100" t="s">
        <v>270</v>
      </c>
      <c r="C19" s="102" t="s">
        <v>253</v>
      </c>
      <c r="D19" s="285"/>
      <c r="E19" s="33"/>
      <c r="F19" s="33">
        <v>0</v>
      </c>
      <c r="G19" s="317">
        <v>0</v>
      </c>
      <c r="H19" s="79"/>
    </row>
    <row r="20" spans="1:8" s="2" customFormat="1" ht="15" customHeight="1">
      <c r="A20" s="99">
        <v>12</v>
      </c>
      <c r="B20" s="100" t="s">
        <v>271</v>
      </c>
      <c r="C20" s="102" t="s">
        <v>255</v>
      </c>
      <c r="D20" s="285"/>
      <c r="E20" s="285"/>
      <c r="F20" s="33">
        <v>0</v>
      </c>
      <c r="G20" s="317">
        <v>0</v>
      </c>
      <c r="H20" s="79"/>
    </row>
    <row r="21" spans="1:8" s="2" customFormat="1" ht="15" customHeight="1" thickBot="1">
      <c r="A21" s="103">
        <v>13</v>
      </c>
      <c r="B21" s="100" t="s">
        <v>274</v>
      </c>
      <c r="C21" s="102">
        <v>109</v>
      </c>
      <c r="D21" s="285">
        <v>0</v>
      </c>
      <c r="E21" s="285">
        <f>'Det. OBRA ALCALDIA  '!F83</f>
        <v>162622.22</v>
      </c>
      <c r="F21" s="33">
        <f>SUM(D21:E21)</f>
        <v>162622.22</v>
      </c>
      <c r="G21" s="317">
        <f>SUM(F21/F6)</f>
        <v>8036.0445924710675</v>
      </c>
      <c r="H21" s="79"/>
    </row>
    <row r="22" spans="1:9" s="2" customFormat="1" ht="23.25" customHeight="1" thickBot="1" thickTop="1">
      <c r="A22" s="198"/>
      <c r="B22" s="618" t="s">
        <v>299</v>
      </c>
      <c r="C22" s="619"/>
      <c r="D22" s="91">
        <f>SUM(D9:D21)</f>
        <v>182860</v>
      </c>
      <c r="E22" s="91">
        <f>SUM(E9:E21)</f>
        <v>167102.6</v>
      </c>
      <c r="F22" s="91">
        <f>SUM(F8:F21)</f>
        <v>349962.6</v>
      </c>
      <c r="G22" s="318">
        <f>SUM(G8:G21)</f>
        <v>17293.547335026633</v>
      </c>
      <c r="H22" s="48"/>
      <c r="I22" s="106"/>
    </row>
    <row r="23" spans="4:10" ht="13.5" thickTop="1">
      <c r="D23" s="289"/>
      <c r="E23" s="16"/>
      <c r="F23" s="16"/>
      <c r="I23" s="119"/>
      <c r="J23" s="295"/>
    </row>
    <row r="24" spans="3:8" ht="12.75">
      <c r="C24" s="290"/>
      <c r="D24" s="16"/>
      <c r="E24" s="16"/>
      <c r="H24" s="119"/>
    </row>
    <row r="25" spans="3:7" ht="12.75">
      <c r="C25" s="291"/>
      <c r="D25" s="292"/>
      <c r="E25" s="16"/>
      <c r="F25" s="293"/>
      <c r="G25" s="119"/>
    </row>
    <row r="26" spans="3:7" ht="15.75">
      <c r="C26" s="114"/>
      <c r="D26" s="294"/>
      <c r="E26" s="296"/>
      <c r="F26" s="296"/>
      <c r="G26" s="297"/>
    </row>
    <row r="27" spans="3:7" ht="15">
      <c r="C27" s="114"/>
      <c r="D27" s="115"/>
      <c r="E27" s="16"/>
      <c r="G27" s="116"/>
    </row>
    <row r="28" spans="4:7" ht="15.75">
      <c r="D28" s="115"/>
      <c r="E28" s="16"/>
      <c r="F28" s="118"/>
      <c r="G28" s="119"/>
    </row>
    <row r="29" spans="4:7" ht="12.75">
      <c r="D29" s="115"/>
      <c r="E29" s="16"/>
      <c r="F29" s="15"/>
      <c r="G29" s="113"/>
    </row>
    <row r="30" spans="4:7" ht="12.75">
      <c r="D30" s="120"/>
      <c r="E30" s="16"/>
      <c r="G30" s="121"/>
    </row>
    <row r="31" ht="12.75">
      <c r="E31" s="16"/>
    </row>
    <row r="32" ht="12.75">
      <c r="E32" s="16"/>
    </row>
  </sheetData>
  <sheetProtection/>
  <mergeCells count="8">
    <mergeCell ref="B22:C22"/>
    <mergeCell ref="A4:G4"/>
    <mergeCell ref="A1:H1"/>
    <mergeCell ref="A2:H2"/>
    <mergeCell ref="A3:H3"/>
    <mergeCell ref="A8:B8"/>
    <mergeCell ref="D6:E6"/>
    <mergeCell ref="A5:G5"/>
  </mergeCells>
  <printOptions horizontalCentered="1" verticalCentered="1"/>
  <pageMargins left="0.32" right="0.3" top="0.8661417322834646" bottom="0.984251968503937" header="0.5118110236220472" footer="0.5905511811023623"/>
  <pageSetup horizontalDpi="180" verticalDpi="180" orientation="landscape" scale="80" r:id="rId1"/>
  <headerFooter alignWithMargins="0">
    <oddHeader>&amp;LProyecto de Agua Potable
Estudio de Factibilidad 2008&amp;RComunidad Mongallo/Negrowas
Municipio Siuna RAAN
</oddHeader>
    <oddFooter>&amp;L&amp;F
&amp;D
&amp;C&amp;P&amp;R APLV -Rio Blanco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3"/>
  </sheetPr>
  <dimension ref="A1:J32"/>
  <sheetViews>
    <sheetView workbookViewId="0" topLeftCell="E5">
      <selection activeCell="M29" sqref="M29"/>
    </sheetView>
  </sheetViews>
  <sheetFormatPr defaultColWidth="11.57421875" defaultRowHeight="12.75"/>
  <cols>
    <col min="1" max="1" width="8.57421875" style="1" customWidth="1"/>
    <col min="2" max="2" width="60.140625" style="1" customWidth="1"/>
    <col min="3" max="4" width="17.28125" style="1" customWidth="1"/>
    <col min="5" max="5" width="19.28125" style="1" customWidth="1"/>
    <col min="6" max="6" width="16.8515625" style="1" customWidth="1"/>
    <col min="7" max="7" width="18.7109375" style="1" customWidth="1"/>
    <col min="8" max="16384" width="11.57421875" style="1" customWidth="1"/>
  </cols>
  <sheetData>
    <row r="1" spans="1:8" ht="15.75">
      <c r="A1" s="621" t="s">
        <v>278</v>
      </c>
      <c r="B1" s="621"/>
      <c r="C1" s="621"/>
      <c r="D1" s="621"/>
      <c r="E1" s="621"/>
      <c r="F1" s="621"/>
      <c r="G1" s="621"/>
      <c r="H1" s="621"/>
    </row>
    <row r="2" spans="1:8" ht="15.75">
      <c r="A2" s="621" t="s">
        <v>283</v>
      </c>
      <c r="B2" s="621"/>
      <c r="C2" s="621"/>
      <c r="D2" s="621"/>
      <c r="E2" s="621"/>
      <c r="F2" s="621"/>
      <c r="G2" s="621"/>
      <c r="H2" s="621"/>
    </row>
    <row r="3" spans="1:8" ht="15.75">
      <c r="A3" s="621" t="s">
        <v>284</v>
      </c>
      <c r="B3" s="621"/>
      <c r="C3" s="621"/>
      <c r="D3" s="621"/>
      <c r="E3" s="621"/>
      <c r="F3" s="621"/>
      <c r="G3" s="621"/>
      <c r="H3" s="621"/>
    </row>
    <row r="4" spans="1:7" ht="15.75">
      <c r="A4" s="601" t="s">
        <v>326</v>
      </c>
      <c r="B4" s="601"/>
      <c r="C4" s="601"/>
      <c r="D4" s="601"/>
      <c r="E4" s="601"/>
      <c r="F4" s="601"/>
      <c r="G4" s="601"/>
    </row>
    <row r="5" spans="1:7" ht="15.75" customHeight="1">
      <c r="A5" s="625"/>
      <c r="B5" s="625"/>
      <c r="C5" s="625"/>
      <c r="D5" s="625"/>
      <c r="E5" s="625"/>
      <c r="F5" s="625"/>
      <c r="G5" s="625"/>
    </row>
    <row r="6" spans="1:6" ht="19.5" customHeight="1" thickBot="1">
      <c r="A6" s="3"/>
      <c r="D6" s="624" t="s">
        <v>257</v>
      </c>
      <c r="E6" s="624"/>
      <c r="F6" s="10">
        <v>20.2366</v>
      </c>
    </row>
    <row r="7" spans="1:7" s="2" customFormat="1" ht="31.5">
      <c r="A7" s="93" t="s">
        <v>258</v>
      </c>
      <c r="B7" s="94" t="s">
        <v>1</v>
      </c>
      <c r="C7" s="95" t="s">
        <v>287</v>
      </c>
      <c r="D7" s="96" t="s">
        <v>6</v>
      </c>
      <c r="E7" s="96" t="s">
        <v>58</v>
      </c>
      <c r="F7" s="95" t="s">
        <v>61</v>
      </c>
      <c r="G7" s="95" t="s">
        <v>313</v>
      </c>
    </row>
    <row r="8" spans="1:7" s="2" customFormat="1" ht="15.75">
      <c r="A8" s="622" t="s">
        <v>282</v>
      </c>
      <c r="B8" s="623"/>
      <c r="C8" s="98"/>
      <c r="D8" s="282"/>
      <c r="E8" s="282"/>
      <c r="F8" s="283"/>
      <c r="G8" s="283"/>
    </row>
    <row r="9" spans="1:8" s="2" customFormat="1" ht="15" customHeight="1">
      <c r="A9" s="99">
        <v>1</v>
      </c>
      <c r="B9" s="100" t="s">
        <v>268</v>
      </c>
      <c r="C9" s="101">
        <v>1</v>
      </c>
      <c r="D9" s="309"/>
      <c r="E9" s="309"/>
      <c r="F9" s="33"/>
      <c r="G9" s="33">
        <f>SUM(F9/F6)</f>
        <v>0</v>
      </c>
      <c r="H9" s="79"/>
    </row>
    <row r="10" spans="1:8" s="2" customFormat="1" ht="15" customHeight="1">
      <c r="A10" s="84">
        <v>2</v>
      </c>
      <c r="B10" s="100" t="s">
        <v>267</v>
      </c>
      <c r="C10" s="101">
        <v>2</v>
      </c>
      <c r="D10" s="285">
        <f>'DETALLE OBRA HERMANOS'!F18</f>
        <v>11680</v>
      </c>
      <c r="E10" s="285"/>
      <c r="F10" s="33">
        <f>SUM(D10:E10)</f>
        <v>11680</v>
      </c>
      <c r="G10" s="33">
        <f>SUM(F10/F6)</f>
        <v>577.1720545941512</v>
      </c>
      <c r="H10" s="79"/>
    </row>
    <row r="11" spans="1:8" s="2" customFormat="1" ht="15" customHeight="1">
      <c r="A11" s="84">
        <v>3</v>
      </c>
      <c r="B11" s="100" t="s">
        <v>183</v>
      </c>
      <c r="C11" s="102" t="s">
        <v>186</v>
      </c>
      <c r="D11" s="285">
        <v>0</v>
      </c>
      <c r="E11" s="285"/>
      <c r="F11" s="33">
        <v>0</v>
      </c>
      <c r="G11" s="33">
        <v>0</v>
      </c>
      <c r="H11" s="79"/>
    </row>
    <row r="12" spans="1:8" s="2" customFormat="1" ht="15" customHeight="1">
      <c r="A12" s="84">
        <v>4</v>
      </c>
      <c r="B12" s="100" t="s">
        <v>184</v>
      </c>
      <c r="C12" s="102" t="s">
        <v>187</v>
      </c>
      <c r="D12" s="285">
        <v>0</v>
      </c>
      <c r="E12" s="285"/>
      <c r="F12" s="33">
        <v>0</v>
      </c>
      <c r="G12" s="33">
        <v>0</v>
      </c>
      <c r="H12" s="79"/>
    </row>
    <row r="13" spans="1:8" s="2" customFormat="1" ht="15" customHeight="1">
      <c r="A13" s="84">
        <v>5</v>
      </c>
      <c r="B13" s="100" t="s">
        <v>188</v>
      </c>
      <c r="C13" s="102" t="s">
        <v>189</v>
      </c>
      <c r="D13" s="285">
        <v>0</v>
      </c>
      <c r="E13" s="285"/>
      <c r="F13" s="33">
        <v>0</v>
      </c>
      <c r="G13" s="33">
        <v>0</v>
      </c>
      <c r="H13" s="79"/>
    </row>
    <row r="14" spans="1:8" s="2" customFormat="1" ht="15" customHeight="1">
      <c r="A14" s="84">
        <v>6</v>
      </c>
      <c r="B14" s="82" t="s">
        <v>269</v>
      </c>
      <c r="C14" s="85" t="s">
        <v>259</v>
      </c>
      <c r="D14" s="285">
        <v>0</v>
      </c>
      <c r="E14" s="285"/>
      <c r="F14" s="33">
        <v>0</v>
      </c>
      <c r="G14" s="33">
        <v>0</v>
      </c>
      <c r="H14" s="79"/>
    </row>
    <row r="15" spans="1:8" s="2" customFormat="1" ht="15" customHeight="1">
      <c r="A15" s="84">
        <v>7</v>
      </c>
      <c r="B15" s="82" t="s">
        <v>322</v>
      </c>
      <c r="C15" s="85" t="s">
        <v>259</v>
      </c>
      <c r="D15" s="285"/>
      <c r="E15" s="285"/>
      <c r="F15" s="33"/>
      <c r="G15" s="33">
        <f>SUM(F15/F6)</f>
        <v>0</v>
      </c>
      <c r="H15" s="79"/>
    </row>
    <row r="16" spans="1:8" s="2" customFormat="1" ht="15" customHeight="1">
      <c r="A16" s="84">
        <v>8</v>
      </c>
      <c r="B16" s="82" t="s">
        <v>327</v>
      </c>
      <c r="C16" s="85" t="s">
        <v>329</v>
      </c>
      <c r="D16" s="285">
        <f>'DETALLE OBRA HERMANOS'!F25</f>
        <v>2400</v>
      </c>
      <c r="F16" s="33">
        <f>SUM(D16)</f>
        <v>2400</v>
      </c>
      <c r="G16" s="33">
        <f>SUM(D16/F6)</f>
        <v>118.59699751934615</v>
      </c>
      <c r="H16" s="79"/>
    </row>
    <row r="17" spans="1:8" s="2" customFormat="1" ht="15" customHeight="1">
      <c r="A17" s="84">
        <v>9</v>
      </c>
      <c r="B17" s="82" t="s">
        <v>272</v>
      </c>
      <c r="C17" s="85">
        <v>5</v>
      </c>
      <c r="D17" s="285"/>
      <c r="E17" s="48">
        <f>'DETALLE OBRA HERMANOS'!F65</f>
        <v>64498</v>
      </c>
      <c r="F17" s="33">
        <f>SUM(E17)</f>
        <v>64498</v>
      </c>
      <c r="G17" s="33">
        <f>SUM(F17/F6)</f>
        <v>3187.1954775011613</v>
      </c>
      <c r="H17" s="79"/>
    </row>
    <row r="18" spans="1:8" s="2" customFormat="1" ht="15" customHeight="1">
      <c r="A18" s="84">
        <v>10</v>
      </c>
      <c r="B18" s="82" t="s">
        <v>273</v>
      </c>
      <c r="C18" s="85">
        <v>4</v>
      </c>
      <c r="D18" s="285"/>
      <c r="E18" s="285"/>
      <c r="F18" s="33"/>
      <c r="G18" s="33">
        <f>SUM(F18/F6)</f>
        <v>0</v>
      </c>
      <c r="H18" s="79"/>
    </row>
    <row r="19" spans="1:8" s="2" customFormat="1" ht="15" customHeight="1">
      <c r="A19" s="84">
        <v>11</v>
      </c>
      <c r="B19" s="100" t="s">
        <v>270</v>
      </c>
      <c r="C19" s="102" t="s">
        <v>253</v>
      </c>
      <c r="D19" s="285">
        <f>'DETALLE OBRA HERMANOS'!F31</f>
        <v>22600</v>
      </c>
      <c r="E19" s="33"/>
      <c r="F19" s="33">
        <f>SUM(D19:E19)</f>
        <v>22600</v>
      </c>
      <c r="G19" s="33">
        <f>SUM(F19/F6)</f>
        <v>1116.7883933071762</v>
      </c>
      <c r="H19" s="79"/>
    </row>
    <row r="20" spans="1:8" s="2" customFormat="1" ht="15" customHeight="1">
      <c r="A20" s="99">
        <v>12</v>
      </c>
      <c r="B20" s="100" t="s">
        <v>271</v>
      </c>
      <c r="C20" s="102" t="s">
        <v>255</v>
      </c>
      <c r="D20" s="285"/>
      <c r="E20" s="285"/>
      <c r="F20" s="33">
        <v>0</v>
      </c>
      <c r="G20" s="33">
        <v>0</v>
      </c>
      <c r="H20" s="79"/>
    </row>
    <row r="21" spans="1:8" s="2" customFormat="1" ht="15" customHeight="1" thickBot="1">
      <c r="A21" s="103">
        <v>13</v>
      </c>
      <c r="B21" s="100" t="s">
        <v>274</v>
      </c>
      <c r="C21" s="102">
        <v>109</v>
      </c>
      <c r="D21" s="285">
        <v>0</v>
      </c>
      <c r="E21" s="285"/>
      <c r="F21" s="33"/>
      <c r="G21" s="33">
        <f>SUM(F21/F6)</f>
        <v>0</v>
      </c>
      <c r="H21" s="79"/>
    </row>
    <row r="22" spans="1:9" s="2" customFormat="1" ht="23.25" customHeight="1" thickBot="1" thickTop="1">
      <c r="A22" s="198"/>
      <c r="B22" s="618" t="s">
        <v>299</v>
      </c>
      <c r="C22" s="619"/>
      <c r="D22" s="91">
        <f>SUM(D9:D21)</f>
        <v>36680</v>
      </c>
      <c r="E22" s="91">
        <f>SUM(E9:E21)</f>
        <v>64498</v>
      </c>
      <c r="F22" s="91">
        <f>SUM(F9:F21)</f>
        <v>101178</v>
      </c>
      <c r="G22" s="91">
        <f>SUM(G9:G21)</f>
        <v>4999.752922921834</v>
      </c>
      <c r="H22" s="48"/>
      <c r="I22" s="106"/>
    </row>
    <row r="23" spans="4:10" ht="13.5" thickTop="1">
      <c r="D23" s="289"/>
      <c r="E23" s="16"/>
      <c r="F23" s="16"/>
      <c r="I23" s="119"/>
      <c r="J23" s="295"/>
    </row>
    <row r="24" spans="3:8" ht="12.75">
      <c r="C24" s="290"/>
      <c r="D24" s="16"/>
      <c r="E24" s="16"/>
      <c r="H24" s="119"/>
    </row>
    <row r="25" spans="3:7" ht="12.75">
      <c r="C25" s="291"/>
      <c r="D25" s="292"/>
      <c r="E25" s="16"/>
      <c r="F25" s="293"/>
      <c r="G25" s="119"/>
    </row>
    <row r="26" spans="3:7" ht="15.75">
      <c r="C26" s="114"/>
      <c r="D26" s="294"/>
      <c r="E26" s="296"/>
      <c r="F26" s="296"/>
      <c r="G26" s="297"/>
    </row>
    <row r="27" spans="3:7" ht="15">
      <c r="C27" s="114"/>
      <c r="D27" s="115"/>
      <c r="E27" s="16"/>
      <c r="G27" s="116"/>
    </row>
    <row r="28" spans="4:7" ht="15.75">
      <c r="D28" s="115"/>
      <c r="E28" s="16"/>
      <c r="F28" s="118"/>
      <c r="G28" s="119"/>
    </row>
    <row r="29" spans="4:7" ht="12.75">
      <c r="D29" s="115"/>
      <c r="E29" s="16"/>
      <c r="F29" s="15"/>
      <c r="G29" s="113"/>
    </row>
    <row r="30" spans="4:7" ht="12.75">
      <c r="D30" s="120"/>
      <c r="E30" s="16"/>
      <c r="G30" s="121"/>
    </row>
    <row r="31" ht="12.75">
      <c r="E31" s="16"/>
    </row>
    <row r="32" ht="12.75">
      <c r="E32" s="16"/>
    </row>
  </sheetData>
  <sheetProtection/>
  <mergeCells count="8">
    <mergeCell ref="B22:C22"/>
    <mergeCell ref="A4:G4"/>
    <mergeCell ref="A1:H1"/>
    <mergeCell ref="A2:H2"/>
    <mergeCell ref="A3:H3"/>
    <mergeCell ref="A8:B8"/>
    <mergeCell ref="D6:E6"/>
    <mergeCell ref="A5:G5"/>
  </mergeCells>
  <printOptions horizontalCentered="1" verticalCentered="1"/>
  <pageMargins left="0.32" right="0.3" top="0.8661417322834646" bottom="0.984251968503937" header="0.5118110236220472" footer="0.5905511811023623"/>
  <pageSetup horizontalDpi="180" verticalDpi="180" orientation="landscape" scale="75" r:id="rId1"/>
  <headerFooter alignWithMargins="0">
    <oddHeader>&amp;LProyecto de Agua Potable
Estudio de Factibilidad 2008&amp;RComunidad Mongallo/Negrowas
Municipio Siuna RAAN
</oddHeader>
    <oddFooter>&amp;L&amp;F
&amp;D
&amp;C&amp;P&amp;R APLV -Rio Blanco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149"/>
  <sheetViews>
    <sheetView workbookViewId="0" topLeftCell="A1">
      <selection activeCell="G94" sqref="G94"/>
    </sheetView>
  </sheetViews>
  <sheetFormatPr defaultColWidth="11.421875" defaultRowHeight="12.75"/>
  <cols>
    <col min="1" max="1" width="7.140625" style="18" customWidth="1"/>
    <col min="2" max="2" width="54.8515625" style="18" customWidth="1"/>
    <col min="3" max="3" width="15.00390625" style="61" customWidth="1"/>
    <col min="4" max="4" width="12.421875" style="18" customWidth="1"/>
    <col min="5" max="5" width="14.7109375" style="19" customWidth="1"/>
    <col min="6" max="6" width="17.57421875" style="19" customWidth="1"/>
    <col min="7" max="7" width="17.28125" style="2" customWidth="1"/>
    <col min="8" max="8" width="14.00390625" style="19" bestFit="1" customWidth="1"/>
    <col min="9" max="16384" width="11.421875" style="18" customWidth="1"/>
  </cols>
  <sheetData>
    <row r="1" spans="1:5" ht="15.75">
      <c r="A1" s="150" t="s">
        <v>278</v>
      </c>
      <c r="B1" s="150"/>
      <c r="C1" s="150"/>
      <c r="D1" s="150"/>
      <c r="E1" s="298"/>
    </row>
    <row r="2" spans="1:5" ht="15.75">
      <c r="A2" s="150" t="s">
        <v>283</v>
      </c>
      <c r="B2" s="150"/>
      <c r="C2" s="150"/>
      <c r="D2" s="150"/>
      <c r="E2" s="298"/>
    </row>
    <row r="3" spans="1:5" ht="15.75">
      <c r="A3" s="150" t="s">
        <v>284</v>
      </c>
      <c r="B3" s="150"/>
      <c r="C3" s="150"/>
      <c r="D3" s="150"/>
      <c r="E3" s="298"/>
    </row>
    <row r="5" spans="1:6" ht="15.75">
      <c r="A5" s="601" t="s">
        <v>297</v>
      </c>
      <c r="B5" s="601"/>
      <c r="C5" s="601"/>
      <c r="D5" s="601"/>
      <c r="E5" s="601"/>
      <c r="F5" s="601"/>
    </row>
    <row r="6" spans="1:6" ht="15.75">
      <c r="A6" s="601" t="s">
        <v>320</v>
      </c>
      <c r="B6" s="601"/>
      <c r="C6" s="601"/>
      <c r="D6" s="601"/>
      <c r="E6" s="601"/>
      <c r="F6" s="601"/>
    </row>
    <row r="7" spans="1:7" ht="15.75">
      <c r="A7" s="74"/>
      <c r="B7" s="74"/>
      <c r="C7" s="50"/>
      <c r="D7" s="74"/>
      <c r="E7" s="51"/>
      <c r="F7" s="51"/>
      <c r="G7" s="9"/>
    </row>
    <row r="8" spans="1:8" s="2" customFormat="1" ht="25.5" customHeight="1">
      <c r="A8" s="44" t="s">
        <v>0</v>
      </c>
      <c r="B8" s="44" t="s">
        <v>1</v>
      </c>
      <c r="C8" s="50" t="s">
        <v>2</v>
      </c>
      <c r="D8" s="74" t="s">
        <v>3</v>
      </c>
      <c r="E8" s="600" t="s">
        <v>4</v>
      </c>
      <c r="F8" s="51" t="s">
        <v>5</v>
      </c>
      <c r="H8" s="48"/>
    </row>
    <row r="9" spans="1:8" s="2" customFormat="1" ht="15.75">
      <c r="A9" s="602" t="s">
        <v>172</v>
      </c>
      <c r="B9" s="602"/>
      <c r="C9" s="178">
        <v>1</v>
      </c>
      <c r="D9" s="74"/>
      <c r="E9" s="600"/>
      <c r="F9" s="51" t="s">
        <v>296</v>
      </c>
      <c r="H9" s="48"/>
    </row>
    <row r="10" spans="1:6" ht="15.75">
      <c r="A10" s="44" t="s">
        <v>6</v>
      </c>
      <c r="B10" s="44"/>
      <c r="C10" s="48"/>
      <c r="D10" s="2"/>
      <c r="E10" s="48"/>
      <c r="F10" s="48"/>
    </row>
    <row r="11" spans="1:7" ht="15">
      <c r="A11" s="60"/>
      <c r="B11" s="60" t="s">
        <v>152</v>
      </c>
      <c r="C11" s="62">
        <v>150</v>
      </c>
      <c r="D11" s="238" t="str">
        <f>VLOOKUP(B11,'[1]Resumen'!$B$7:$D$156,3,0)</f>
        <v>bolsas</v>
      </c>
      <c r="E11" s="270">
        <f>VLOOKUP(B11,'[1]Resumen'!B$7:E$156,4,FALSE)</f>
        <v>180</v>
      </c>
      <c r="F11" s="260">
        <f>SUM(C11*E11)</f>
        <v>27000</v>
      </c>
      <c r="G11" s="60"/>
    </row>
    <row r="12" spans="1:7" ht="15">
      <c r="A12" s="60"/>
      <c r="B12" s="60" t="s">
        <v>164</v>
      </c>
      <c r="C12" s="62">
        <v>1</v>
      </c>
      <c r="D12" s="238" t="str">
        <f>VLOOKUP(B12,'[1]Resumen'!$B$7:$D$156,3,0)</f>
        <v>qq</v>
      </c>
      <c r="E12" s="270">
        <f>VLOOKUP(B12,'[1]Resumen'!B$7:E$156,4,FALSE)</f>
        <v>350</v>
      </c>
      <c r="F12" s="260">
        <f aca="true" t="shared" si="0" ref="F12:F26">E12*C12</f>
        <v>350</v>
      </c>
      <c r="G12" s="60"/>
    </row>
    <row r="13" spans="1:7" ht="15">
      <c r="A13" s="60"/>
      <c r="B13" s="60" t="s">
        <v>165</v>
      </c>
      <c r="C13" s="62">
        <v>1</v>
      </c>
      <c r="D13" s="238" t="str">
        <f>VLOOKUP(B13,'[1]Resumen'!$B$7:$D$156,3,0)</f>
        <v>qq</v>
      </c>
      <c r="E13" s="270">
        <f>VLOOKUP(B13,'[1]Resumen'!B$7:E$156,4,FALSE)</f>
        <v>1300</v>
      </c>
      <c r="F13" s="260">
        <f t="shared" si="0"/>
        <v>1300</v>
      </c>
      <c r="G13" s="60"/>
    </row>
    <row r="14" spans="1:7" ht="15">
      <c r="A14" s="60"/>
      <c r="B14" s="60" t="s">
        <v>150</v>
      </c>
      <c r="C14" s="62">
        <v>15</v>
      </c>
      <c r="D14" s="238" t="str">
        <f>VLOOKUP(B14,'[1]Resumen'!$B$7:$D$156,3,0)</f>
        <v>m3</v>
      </c>
      <c r="E14" s="270">
        <f>VLOOKUP(B14,'[1]Resumen'!B$7:E$156,4,FALSE)</f>
        <v>700</v>
      </c>
      <c r="F14" s="260">
        <f t="shared" si="0"/>
        <v>10500</v>
      </c>
      <c r="G14" s="60"/>
    </row>
    <row r="15" spans="1:7" ht="15">
      <c r="A15" s="60"/>
      <c r="B15" s="60" t="s">
        <v>151</v>
      </c>
      <c r="C15" s="62">
        <v>10</v>
      </c>
      <c r="D15" s="238" t="str">
        <f>VLOOKUP(B15,'[1]Resumen'!$B$7:$D$156,3,0)</f>
        <v>m3</v>
      </c>
      <c r="E15" s="270">
        <f>VLOOKUP(B15,'[1]Resumen'!B$7:E$156,4,FALSE)</f>
        <v>850</v>
      </c>
      <c r="F15" s="260">
        <f t="shared" si="0"/>
        <v>8500</v>
      </c>
      <c r="G15" s="60"/>
    </row>
    <row r="16" spans="1:7" ht="15">
      <c r="A16" s="60"/>
      <c r="B16" s="60" t="s">
        <v>149</v>
      </c>
      <c r="C16" s="62">
        <v>2000</v>
      </c>
      <c r="D16" s="238" t="str">
        <f>VLOOKUP(B16,'[1]Resumen'!$B$7:$D$156,3,0)</f>
        <v>Unidad</v>
      </c>
      <c r="E16" s="270">
        <f>VLOOKUP(B16,'[1]Resumen'!B$7:E$156,4,FALSE)</f>
        <v>1.6</v>
      </c>
      <c r="F16" s="260">
        <f t="shared" si="0"/>
        <v>3200</v>
      </c>
      <c r="G16" s="60"/>
    </row>
    <row r="17" spans="1:7" ht="15">
      <c r="A17" s="60"/>
      <c r="B17" s="60" t="s">
        <v>209</v>
      </c>
      <c r="C17" s="62">
        <v>5</v>
      </c>
      <c r="D17" s="238" t="str">
        <f>VLOOKUP(B17,'[1]Resumen'!$B$7:$D$156,3,0)</f>
        <v>qq</v>
      </c>
      <c r="E17" s="270">
        <f>VLOOKUP(B17,'[1]Resumen'!B$7:E$156,4,FALSE)</f>
        <v>1500</v>
      </c>
      <c r="F17" s="260">
        <f t="shared" si="0"/>
        <v>7500</v>
      </c>
      <c r="G17" s="60"/>
    </row>
    <row r="18" spans="1:7" ht="15">
      <c r="A18" s="60"/>
      <c r="B18" s="60" t="s">
        <v>210</v>
      </c>
      <c r="C18" s="62">
        <v>2</v>
      </c>
      <c r="D18" s="238" t="str">
        <f>VLOOKUP(B18,'[1]Resumen'!$B$7:$D$156,3,0)</f>
        <v>qq</v>
      </c>
      <c r="E18" s="270">
        <f>VLOOKUP(B18,'[1]Resumen'!B$7:E$156,4,FALSE)</f>
        <v>1400</v>
      </c>
      <c r="F18" s="260">
        <f t="shared" si="0"/>
        <v>2800</v>
      </c>
      <c r="G18" s="60"/>
    </row>
    <row r="19" spans="1:7" ht="15">
      <c r="A19" s="60"/>
      <c r="B19" s="60" t="s">
        <v>9</v>
      </c>
      <c r="C19" s="62">
        <v>30</v>
      </c>
      <c r="D19" s="238" t="str">
        <f>VLOOKUP(B19,'[1]Resumen'!$B$7:$D$156,3,0)</f>
        <v>lbs</v>
      </c>
      <c r="E19" s="270">
        <f>VLOOKUP(B19,'[1]Resumen'!B$7:E$156,4,FALSE)</f>
        <v>20</v>
      </c>
      <c r="F19" s="260">
        <f t="shared" si="0"/>
        <v>600</v>
      </c>
      <c r="G19" s="60"/>
    </row>
    <row r="20" spans="1:7" ht="15">
      <c r="A20" s="60"/>
      <c r="B20" s="60" t="s">
        <v>153</v>
      </c>
      <c r="C20" s="62">
        <v>15</v>
      </c>
      <c r="D20" s="238" t="str">
        <f>VLOOKUP(B20,'[1]Resumen'!$B$7:$D$156,3,0)</f>
        <v>lbs</v>
      </c>
      <c r="E20" s="270">
        <f>VLOOKUP(B20,'[1]Resumen'!B$7:E$156,4,FALSE)</f>
        <v>20</v>
      </c>
      <c r="F20" s="260">
        <f t="shared" si="0"/>
        <v>300</v>
      </c>
      <c r="G20" s="60"/>
    </row>
    <row r="21" spans="1:7" ht="15">
      <c r="A21" s="60"/>
      <c r="B21" s="60" t="s">
        <v>140</v>
      </c>
      <c r="C21" s="62">
        <v>1</v>
      </c>
      <c r="D21" s="238" t="str">
        <f>VLOOKUP(B21,'[1]Resumen'!$B$7:$D$156,3,0)</f>
        <v>Gln</v>
      </c>
      <c r="E21" s="270">
        <f>VLOOKUP(B21,'[1]Resumen'!B$7:E$156,4,FALSE)</f>
        <v>300</v>
      </c>
      <c r="F21" s="260">
        <f t="shared" si="0"/>
        <v>300</v>
      </c>
      <c r="G21" s="60"/>
    </row>
    <row r="22" spans="1:7" ht="15">
      <c r="A22" s="60"/>
      <c r="B22" s="60" t="s">
        <v>141</v>
      </c>
      <c r="C22" s="62">
        <v>2000</v>
      </c>
      <c r="D22" s="238" t="str">
        <f>VLOOKUP(B22,'[1]Resumen'!$B$7:$D$156,3,0)</f>
        <v>Unidad</v>
      </c>
      <c r="E22" s="270">
        <f>VLOOKUP(B22,'[1]Resumen'!B$7:E$156,4,FALSE)</f>
        <v>7</v>
      </c>
      <c r="F22" s="260">
        <f t="shared" si="0"/>
        <v>14000</v>
      </c>
      <c r="G22" s="60"/>
    </row>
    <row r="23" spans="1:7" ht="15">
      <c r="A23" s="60"/>
      <c r="B23" s="60" t="s">
        <v>142</v>
      </c>
      <c r="C23" s="62">
        <v>100</v>
      </c>
      <c r="D23" s="238" t="str">
        <f>VLOOKUP(B23,'[1]Resumen'!$B$7:$D$156,3,0)</f>
        <v>Yarda</v>
      </c>
      <c r="E23" s="270">
        <f>VLOOKUP(B23,'[1]Resumen'!B$7:E$156,4,FALSE)</f>
        <v>30</v>
      </c>
      <c r="F23" s="260">
        <f t="shared" si="0"/>
        <v>3000</v>
      </c>
      <c r="G23" s="60"/>
    </row>
    <row r="24" spans="1:7" ht="15">
      <c r="A24" s="60"/>
      <c r="B24" s="60" t="s">
        <v>143</v>
      </c>
      <c r="C24" s="62">
        <v>2</v>
      </c>
      <c r="D24" s="238" t="str">
        <f>VLOOKUP(B24,'[1]Resumen'!$B$7:$D$156,3,0)</f>
        <v>Gln</v>
      </c>
      <c r="E24" s="270">
        <f>VLOOKUP(B24,'[1]Resumen'!B$7:E$156,4,FALSE)</f>
        <v>450</v>
      </c>
      <c r="F24" s="260">
        <f t="shared" si="0"/>
        <v>900</v>
      </c>
      <c r="G24" s="60"/>
    </row>
    <row r="25" spans="1:7" ht="15">
      <c r="A25" s="60"/>
      <c r="B25" s="60" t="s">
        <v>144</v>
      </c>
      <c r="C25" s="62">
        <v>500</v>
      </c>
      <c r="D25" s="238" t="str">
        <f>VLOOKUP(B25,'[1]Resumen'!$B$7:$D$156,3,0)</f>
        <v>Unidad</v>
      </c>
      <c r="E25" s="270">
        <f>VLOOKUP(B25,'[1]Resumen'!B$7:E$156,4,FALSE)</f>
        <v>7</v>
      </c>
      <c r="F25" s="260">
        <f t="shared" si="0"/>
        <v>3500</v>
      </c>
      <c r="G25" s="60"/>
    </row>
    <row r="26" spans="1:7" ht="15">
      <c r="A26" s="60"/>
      <c r="B26" s="60" t="s">
        <v>146</v>
      </c>
      <c r="C26" s="62">
        <v>2</v>
      </c>
      <c r="D26" s="238" t="str">
        <f>VLOOKUP(B26,'[1]Resumen'!$B$7:$D$156,3,0)</f>
        <v>Unidad</v>
      </c>
      <c r="E26" s="270">
        <f>VLOOKUP(B26,'[1]Resumen'!B$7:E$156,4,FALSE)</f>
        <v>30</v>
      </c>
      <c r="F26" s="260">
        <f t="shared" si="0"/>
        <v>60</v>
      </c>
      <c r="G26" s="60"/>
    </row>
    <row r="27" spans="1:7" ht="15">
      <c r="A27" s="60"/>
      <c r="B27" s="60" t="s">
        <v>265</v>
      </c>
      <c r="C27" s="62">
        <v>24</v>
      </c>
      <c r="D27" s="238" t="s">
        <v>3</v>
      </c>
      <c r="E27" s="270">
        <v>250</v>
      </c>
      <c r="F27" s="260">
        <f>SUM(C27*E27)</f>
        <v>6000</v>
      </c>
      <c r="G27" s="60"/>
    </row>
    <row r="28" spans="1:7" ht="15">
      <c r="A28" s="60"/>
      <c r="B28" s="60" t="s">
        <v>147</v>
      </c>
      <c r="C28" s="62">
        <v>4</v>
      </c>
      <c r="D28" s="238" t="str">
        <f>VLOOKUP(B28,'[1]Resumen'!$B$7:$D$156,3,0)</f>
        <v>Yarda</v>
      </c>
      <c r="E28" s="270">
        <f>VLOOKUP(B28,'[1]Resumen'!B$7:E$156,4,FALSE)</f>
        <v>35</v>
      </c>
      <c r="F28" s="260">
        <f aca="true" t="shared" si="1" ref="F28:F35">E28*C28</f>
        <v>140</v>
      </c>
      <c r="G28" s="60"/>
    </row>
    <row r="29" spans="1:7" ht="15">
      <c r="A29" s="60"/>
      <c r="B29" s="60" t="s">
        <v>145</v>
      </c>
      <c r="C29" s="62">
        <v>1</v>
      </c>
      <c r="D29" s="238" t="str">
        <f>VLOOKUP(B29,'[1]Resumen'!$B$7:$D$156,3,0)</f>
        <v>Gln</v>
      </c>
      <c r="E29" s="270">
        <f>VLOOKUP(B29,'[1]Resumen'!B$7:E$156,4,FALSE)</f>
        <v>200</v>
      </c>
      <c r="F29" s="260">
        <f t="shared" si="1"/>
        <v>200</v>
      </c>
      <c r="G29" s="60"/>
    </row>
    <row r="30" spans="1:7" ht="15">
      <c r="A30" s="60"/>
      <c r="B30" s="60" t="s">
        <v>10</v>
      </c>
      <c r="C30" s="62">
        <v>2</v>
      </c>
      <c r="D30" s="238" t="str">
        <f>VLOOKUP(B30,'[1]Resumen'!$B$7:$D$156,3,0)</f>
        <v>Unidad</v>
      </c>
      <c r="E30" s="270">
        <f>VLOOKUP(B30,'[1]Resumen'!B$7:E$156,4,FALSE)</f>
        <v>950</v>
      </c>
      <c r="F30" s="260">
        <f t="shared" si="1"/>
        <v>1900</v>
      </c>
      <c r="G30" s="60"/>
    </row>
    <row r="31" spans="1:7" ht="15">
      <c r="A31" s="60"/>
      <c r="B31" s="68" t="s">
        <v>108</v>
      </c>
      <c r="C31" s="62">
        <v>1</v>
      </c>
      <c r="D31" s="238" t="str">
        <f>VLOOKUP(B31,'[1]Resumen'!$B$7:$D$156,3,0)</f>
        <v>Gln</v>
      </c>
      <c r="E31" s="270">
        <f>VLOOKUP(B31,'[1]Resumen'!B$7:E$156,4,FALSE)</f>
        <v>78</v>
      </c>
      <c r="F31" s="260">
        <f t="shared" si="1"/>
        <v>78</v>
      </c>
      <c r="G31" s="60"/>
    </row>
    <row r="32" spans="1:7" ht="15">
      <c r="A32" s="60"/>
      <c r="B32" s="60" t="s">
        <v>148</v>
      </c>
      <c r="C32" s="62">
        <v>4</v>
      </c>
      <c r="D32" s="238" t="str">
        <f>VLOOKUP(B32,'[1]Resumen'!$B$7:$D$156,3,0)</f>
        <v>Unidad</v>
      </c>
      <c r="E32" s="270">
        <f>VLOOKUP(B32,'[1]Resumen'!B$7:E$156,4,FALSE)</f>
        <v>30</v>
      </c>
      <c r="F32" s="260">
        <f t="shared" si="1"/>
        <v>120</v>
      </c>
      <c r="G32" s="60"/>
    </row>
    <row r="33" spans="1:7" ht="15">
      <c r="A33" s="60"/>
      <c r="B33" s="60" t="s">
        <v>11</v>
      </c>
      <c r="C33" s="62">
        <v>2</v>
      </c>
      <c r="D33" s="238" t="str">
        <f>VLOOKUP(B33,'[1]Resumen'!$B$7:$D$156,3,0)</f>
        <v>Unidad</v>
      </c>
      <c r="E33" s="270">
        <f>VLOOKUP(B33,'[1]Resumen'!B$7:E$156,4,FALSE)</f>
        <v>95</v>
      </c>
      <c r="F33" s="260">
        <f t="shared" si="1"/>
        <v>190</v>
      </c>
      <c r="G33" s="60"/>
    </row>
    <row r="34" spans="1:7" ht="15">
      <c r="A34" s="60"/>
      <c r="B34" s="60" t="s">
        <v>30</v>
      </c>
      <c r="C34" s="62">
        <v>4</v>
      </c>
      <c r="D34" s="238" t="str">
        <f>VLOOKUP(B34,'[1]Resumen'!$B$7:$D$156,3,0)</f>
        <v>Rollo</v>
      </c>
      <c r="E34" s="270">
        <f>VLOOKUP(B34,'[1]Resumen'!B$7:E$156,4,FALSE)</f>
        <v>1200</v>
      </c>
      <c r="F34" s="260">
        <f t="shared" si="1"/>
        <v>4800</v>
      </c>
      <c r="G34" s="60"/>
    </row>
    <row r="35" spans="1:7" ht="15.75" thickBot="1">
      <c r="A35" s="60"/>
      <c r="B35" s="60" t="s">
        <v>31</v>
      </c>
      <c r="C35" s="62">
        <v>8</v>
      </c>
      <c r="D35" s="238" t="str">
        <f>VLOOKUP(B35,'[1]Resumen'!$B$7:$D$156,3,0)</f>
        <v>lbs</v>
      </c>
      <c r="E35" s="270">
        <f>VLOOKUP(B35,'[1]Resumen'!B$7:E$156,4,FALSE)</f>
        <v>20</v>
      </c>
      <c r="F35" s="301">
        <f t="shared" si="1"/>
        <v>160</v>
      </c>
      <c r="G35" s="60"/>
    </row>
    <row r="36" spans="1:7" ht="16.5" thickTop="1">
      <c r="A36" s="239"/>
      <c r="B36" s="239"/>
      <c r="C36" s="598" t="s">
        <v>289</v>
      </c>
      <c r="D36" s="598"/>
      <c r="E36" s="598"/>
      <c r="F36" s="302">
        <f>SUM(F11:F35)</f>
        <v>97398</v>
      </c>
      <c r="G36" s="60" t="s">
        <v>13</v>
      </c>
    </row>
    <row r="37" spans="1:7" ht="15">
      <c r="A37" s="60" t="s">
        <v>19</v>
      </c>
      <c r="B37" s="60"/>
      <c r="C37" s="60"/>
      <c r="D37" s="60"/>
      <c r="E37" s="48"/>
      <c r="F37" s="48"/>
      <c r="G37" s="60"/>
    </row>
    <row r="38" spans="1:7" ht="15">
      <c r="A38" s="60"/>
      <c r="B38" s="60"/>
      <c r="C38" s="238"/>
      <c r="D38" s="60"/>
      <c r="E38" s="48"/>
      <c r="F38" s="48"/>
      <c r="G38" s="60"/>
    </row>
    <row r="39" spans="1:7" ht="15.75" thickBot="1">
      <c r="A39" s="60"/>
      <c r="B39" s="60" t="s">
        <v>156</v>
      </c>
      <c r="C39" s="251">
        <v>8</v>
      </c>
      <c r="D39" s="241" t="s">
        <v>3</v>
      </c>
      <c r="E39" s="53">
        <v>492</v>
      </c>
      <c r="F39" s="303">
        <f>SUM(C39*E39)</f>
        <v>3936</v>
      </c>
      <c r="G39" s="60"/>
    </row>
    <row r="40" spans="1:7" ht="16.5" thickTop="1">
      <c r="A40" s="60"/>
      <c r="B40" s="60"/>
      <c r="C40" s="251"/>
      <c r="D40" s="60"/>
      <c r="E40" s="270" t="s">
        <v>12</v>
      </c>
      <c r="F40" s="47">
        <f>SUM(F39:F39)</f>
        <v>3936</v>
      </c>
      <c r="G40" s="60" t="s">
        <v>20</v>
      </c>
    </row>
    <row r="41" spans="1:7" ht="15">
      <c r="A41" s="60" t="s">
        <v>21</v>
      </c>
      <c r="B41" s="60"/>
      <c r="C41" s="251"/>
      <c r="D41" s="60"/>
      <c r="E41" s="48" t="s">
        <v>8</v>
      </c>
      <c r="F41" s="48"/>
      <c r="G41" s="60"/>
    </row>
    <row r="42" spans="1:7" ht="15">
      <c r="A42" s="60"/>
      <c r="B42" s="68" t="s">
        <v>155</v>
      </c>
      <c r="C42" s="251">
        <v>4</v>
      </c>
      <c r="D42" s="241" t="s">
        <v>3</v>
      </c>
      <c r="E42" s="53">
        <v>110.6</v>
      </c>
      <c r="F42" s="45">
        <f>SUM(E42*C42)</f>
        <v>442.4</v>
      </c>
      <c r="G42" s="60"/>
    </row>
    <row r="43" spans="1:7" ht="15.75">
      <c r="A43" s="60"/>
      <c r="B43" s="68" t="s">
        <v>154</v>
      </c>
      <c r="C43" s="251">
        <v>2</v>
      </c>
      <c r="D43" s="241" t="s">
        <v>3</v>
      </c>
      <c r="E43" s="53">
        <v>50.99</v>
      </c>
      <c r="F43" s="45">
        <f>SUM(E43*C43)</f>
        <v>101.98</v>
      </c>
      <c r="G43" s="242"/>
    </row>
    <row r="44" spans="1:7" ht="15.75">
      <c r="A44" s="60"/>
      <c r="B44" s="60"/>
      <c r="C44" s="251"/>
      <c r="D44" s="60"/>
      <c r="E44" s="270" t="s">
        <v>12</v>
      </c>
      <c r="F44" s="258">
        <f>SUM(F42:F43)</f>
        <v>544.38</v>
      </c>
      <c r="G44" s="60" t="s">
        <v>22</v>
      </c>
    </row>
    <row r="45" spans="1:7" ht="15.75">
      <c r="A45" s="239"/>
      <c r="B45" s="239"/>
      <c r="C45" s="598" t="s">
        <v>290</v>
      </c>
      <c r="D45" s="598"/>
      <c r="E45" s="598"/>
      <c r="F45" s="265">
        <f>SUM(F40+F44)</f>
        <v>4480.38</v>
      </c>
      <c r="G45" s="60"/>
    </row>
    <row r="46" spans="1:7" ht="15.75">
      <c r="A46" s="60"/>
      <c r="B46" s="60"/>
      <c r="C46" s="240"/>
      <c r="D46" s="60"/>
      <c r="E46" s="46" t="s">
        <v>157</v>
      </c>
      <c r="F46" s="47">
        <f>SUM(F36+F40+F44)</f>
        <v>101878.38</v>
      </c>
      <c r="G46" s="60"/>
    </row>
    <row r="47" spans="1:7" ht="15.75">
      <c r="A47" s="67" t="s">
        <v>205</v>
      </c>
      <c r="B47" s="69"/>
      <c r="C47" s="187">
        <v>1000</v>
      </c>
      <c r="D47" s="246" t="s">
        <v>90</v>
      </c>
      <c r="E47" s="299"/>
      <c r="F47" s="76"/>
      <c r="G47" s="60"/>
    </row>
    <row r="48" spans="1:7" ht="15.75">
      <c r="A48" s="68" t="s">
        <v>6</v>
      </c>
      <c r="B48" s="68"/>
      <c r="C48" s="68"/>
      <c r="D48" s="68"/>
      <c r="E48" s="299"/>
      <c r="F48" s="76"/>
      <c r="G48" s="60"/>
    </row>
    <row r="49" spans="1:7" ht="15">
      <c r="A49" s="68"/>
      <c r="B49" s="68" t="s">
        <v>152</v>
      </c>
      <c r="C49" s="250">
        <v>250</v>
      </c>
      <c r="D49" s="238" t="str">
        <f>VLOOKUP(B49,'[1]Resumen'!$B$7:$D$156,3,0)</f>
        <v>bolsas</v>
      </c>
      <c r="E49" s="270">
        <f>VLOOKUP(B49,'[1]Resumen'!B$7:E$156,4,FALSE)</f>
        <v>180</v>
      </c>
      <c r="F49" s="260">
        <f aca="true" t="shared" si="2" ref="F49:F55">E49*C49</f>
        <v>45000</v>
      </c>
      <c r="G49" s="60"/>
    </row>
    <row r="50" spans="1:7" ht="15">
      <c r="A50" s="68"/>
      <c r="B50" s="60" t="s">
        <v>206</v>
      </c>
      <c r="C50" s="250">
        <v>35</v>
      </c>
      <c r="D50" s="238" t="str">
        <f>VLOOKUP(B50,'[1]Resumen'!$B$7:$D$156,3,0)</f>
        <v>m3</v>
      </c>
      <c r="E50" s="270">
        <f>VLOOKUP(B50,'[1]Resumen'!B$7:E$156,4,FALSE)</f>
        <v>400</v>
      </c>
      <c r="F50" s="260">
        <f t="shared" si="2"/>
        <v>14000</v>
      </c>
      <c r="G50" s="60"/>
    </row>
    <row r="51" spans="1:7" ht="15">
      <c r="A51" s="68"/>
      <c r="B51" s="60" t="s">
        <v>211</v>
      </c>
      <c r="C51" s="250">
        <v>3</v>
      </c>
      <c r="D51" s="238" t="str">
        <f>VLOOKUP(B51,'[1]Resumen'!$B$7:$D$156,3,0)</f>
        <v>Unidad</v>
      </c>
      <c r="E51" s="270">
        <f>VLOOKUP(B51,'[1]Resumen'!B$7:E$156,4,FALSE)</f>
        <v>120</v>
      </c>
      <c r="F51" s="260">
        <f t="shared" si="2"/>
        <v>360</v>
      </c>
      <c r="G51" s="60"/>
    </row>
    <row r="52" spans="1:7" ht="15">
      <c r="A52" s="68"/>
      <c r="B52" s="60" t="s">
        <v>212</v>
      </c>
      <c r="C52" s="250">
        <v>30</v>
      </c>
      <c r="D52" s="238" t="str">
        <f>VLOOKUP(B52,'[1]Resumen'!$B$7:$D$156,3,0)</f>
        <v>Yarda</v>
      </c>
      <c r="E52" s="270">
        <f>VLOOKUP(B52,'[1]Resumen'!B$7:E$156,4,FALSE)</f>
        <v>60</v>
      </c>
      <c r="F52" s="260">
        <f t="shared" si="2"/>
        <v>1800</v>
      </c>
      <c r="G52" s="60"/>
    </row>
    <row r="53" spans="1:7" ht="15">
      <c r="A53" s="68"/>
      <c r="B53" s="60" t="s">
        <v>213</v>
      </c>
      <c r="C53" s="250">
        <v>20</v>
      </c>
      <c r="D53" s="238" t="str">
        <f>VLOOKUP(B53,'[1]Resumen'!$B$7:$D$156,3,0)</f>
        <v>Par</v>
      </c>
      <c r="E53" s="270">
        <f>VLOOKUP(B53,'[1]Resumen'!B$7:E$156,4,FALSE)</f>
        <v>60</v>
      </c>
      <c r="F53" s="260">
        <f t="shared" si="2"/>
        <v>1200</v>
      </c>
      <c r="G53" s="60"/>
    </row>
    <row r="54" spans="1:7" ht="15">
      <c r="A54" s="68"/>
      <c r="B54" s="60" t="s">
        <v>214</v>
      </c>
      <c r="C54" s="250">
        <v>12</v>
      </c>
      <c r="D54" s="238" t="str">
        <f>VLOOKUP(B54,'[1]Resumen'!$B$7:$D$156,3,0)</f>
        <v>Unidad</v>
      </c>
      <c r="E54" s="270">
        <f>VLOOKUP(B54,'[1]Resumen'!B$7:E$156,4,FALSE)</f>
        <v>850</v>
      </c>
      <c r="F54" s="260">
        <f t="shared" si="2"/>
        <v>10200</v>
      </c>
      <c r="G54" s="60"/>
    </row>
    <row r="55" spans="1:7" ht="15">
      <c r="A55" s="68"/>
      <c r="B55" s="60" t="s">
        <v>215</v>
      </c>
      <c r="C55" s="250">
        <v>18</v>
      </c>
      <c r="D55" s="238" t="str">
        <f>VLOOKUP(B55,'[1]Resumen'!$B$7:$D$156,3,0)</f>
        <v>Unidad</v>
      </c>
      <c r="E55" s="270">
        <f>VLOOKUP(B55,'[1]Resumen'!B$7:E$156,4,FALSE)</f>
        <v>220</v>
      </c>
      <c r="F55" s="260">
        <f t="shared" si="2"/>
        <v>3960</v>
      </c>
      <c r="G55" s="60"/>
    </row>
    <row r="56" spans="1:7" ht="15.75">
      <c r="A56" s="239"/>
      <c r="B56" s="598" t="s">
        <v>295</v>
      </c>
      <c r="C56" s="598"/>
      <c r="D56" s="598"/>
      <c r="E56" s="598"/>
      <c r="F56" s="302">
        <f>SUM(F49:F55)</f>
        <v>76520</v>
      </c>
      <c r="G56" s="68" t="s">
        <v>13</v>
      </c>
    </row>
    <row r="57" spans="1:7" ht="15.75">
      <c r="A57" s="60"/>
      <c r="B57" s="60"/>
      <c r="C57" s="251"/>
      <c r="D57" s="60"/>
      <c r="E57" s="270"/>
      <c r="F57" s="47"/>
      <c r="G57" s="60"/>
    </row>
    <row r="58" spans="1:7" ht="15.75">
      <c r="A58" s="64" t="s">
        <v>162</v>
      </c>
      <c r="B58" s="60"/>
      <c r="C58" s="76">
        <v>4</v>
      </c>
      <c r="D58" s="244"/>
      <c r="E58" s="300"/>
      <c r="F58" s="304"/>
      <c r="G58" s="60"/>
    </row>
    <row r="59" spans="1:7" ht="15.75">
      <c r="A59" s="60" t="s">
        <v>6</v>
      </c>
      <c r="B59" s="60"/>
      <c r="C59" s="45"/>
      <c r="D59" s="244"/>
      <c r="E59" s="300"/>
      <c r="F59" s="304"/>
      <c r="G59" s="60"/>
    </row>
    <row r="60" spans="1:7" ht="15">
      <c r="A60" s="60"/>
      <c r="B60" s="60" t="s">
        <v>152</v>
      </c>
      <c r="C60" s="251">
        <v>8</v>
      </c>
      <c r="D60" s="238" t="str">
        <f>VLOOKUP(B60,'[1]Resumen'!$B$7:$D$156,3,0)</f>
        <v>bolsas</v>
      </c>
      <c r="E60" s="270">
        <f>VLOOKUP(B60,'[1]Resumen'!B$7:E$156,4,FALSE)</f>
        <v>180</v>
      </c>
      <c r="F60" s="260">
        <f aca="true" t="shared" si="3" ref="F60:F66">E60*C60</f>
        <v>1440</v>
      </c>
      <c r="G60" s="60"/>
    </row>
    <row r="61" spans="1:7" ht="15">
      <c r="A61" s="60"/>
      <c r="B61" s="60" t="s">
        <v>150</v>
      </c>
      <c r="C61" s="251">
        <v>1.2</v>
      </c>
      <c r="D61" s="238" t="str">
        <f>VLOOKUP(B61,'[1]Resumen'!$B$7:$D$156,3,0)</f>
        <v>m3</v>
      </c>
      <c r="E61" s="270">
        <f>VLOOKUP(B61,'[1]Resumen'!B$7:E$156,4,FALSE)</f>
        <v>700</v>
      </c>
      <c r="F61" s="260">
        <f t="shared" si="3"/>
        <v>840</v>
      </c>
      <c r="G61" s="60"/>
    </row>
    <row r="62" spans="1:7" ht="15">
      <c r="A62" s="60"/>
      <c r="B62" s="60" t="s">
        <v>149</v>
      </c>
      <c r="C62" s="251">
        <v>320</v>
      </c>
      <c r="D62" s="238" t="str">
        <f>VLOOKUP(B62,'[1]Resumen'!$B$7:$D$156,3,0)</f>
        <v>Unidad</v>
      </c>
      <c r="E62" s="270">
        <f>VLOOKUP(B62,'[1]Resumen'!B$7:E$156,4,FALSE)</f>
        <v>1.6</v>
      </c>
      <c r="F62" s="260">
        <f t="shared" si="3"/>
        <v>512</v>
      </c>
      <c r="G62" s="60"/>
    </row>
    <row r="63" spans="1:7" ht="15">
      <c r="A63" s="60"/>
      <c r="B63" s="60" t="s">
        <v>209</v>
      </c>
      <c r="C63" s="251">
        <v>0.5</v>
      </c>
      <c r="D63" s="238" t="str">
        <f>VLOOKUP(B63,'[1]Resumen'!$B$7:$D$156,3,0)</f>
        <v>qq</v>
      </c>
      <c r="E63" s="270">
        <f>VLOOKUP(B63,'[1]Resumen'!B$7:E$156,4,FALSE)</f>
        <v>1500</v>
      </c>
      <c r="F63" s="260">
        <f t="shared" si="3"/>
        <v>750</v>
      </c>
      <c r="G63" s="60"/>
    </row>
    <row r="64" spans="1:7" ht="15">
      <c r="A64" s="60"/>
      <c r="B64" s="60" t="s">
        <v>10</v>
      </c>
      <c r="C64" s="251">
        <v>4</v>
      </c>
      <c r="D64" s="238" t="str">
        <f>VLOOKUP(B64,'[1]Resumen'!$B$7:$D$156,3,0)</f>
        <v>Unidad</v>
      </c>
      <c r="E64" s="270">
        <f>VLOOKUP(B64,'[1]Resumen'!B$7:E$156,4,FALSE)</f>
        <v>950</v>
      </c>
      <c r="F64" s="260">
        <f t="shared" si="3"/>
        <v>3800</v>
      </c>
      <c r="G64" s="60"/>
    </row>
    <row r="65" spans="1:7" ht="15">
      <c r="A65" s="60"/>
      <c r="B65" s="60" t="s">
        <v>9</v>
      </c>
      <c r="C65" s="251">
        <v>4</v>
      </c>
      <c r="D65" s="238" t="str">
        <f>VLOOKUP(B65,'[1]Resumen'!$B$7:$D$156,3,0)</f>
        <v>lbs</v>
      </c>
      <c r="E65" s="270">
        <f>VLOOKUP(B65,'[1]Resumen'!B$7:E$156,4,FALSE)</f>
        <v>20</v>
      </c>
      <c r="F65" s="260">
        <f t="shared" si="3"/>
        <v>80</v>
      </c>
      <c r="G65" s="60"/>
    </row>
    <row r="66" spans="1:7" ht="15.75" thickBot="1">
      <c r="A66" s="60"/>
      <c r="B66" s="60" t="s">
        <v>11</v>
      </c>
      <c r="C66" s="251">
        <v>1</v>
      </c>
      <c r="D66" s="238" t="str">
        <f>VLOOKUP(B66,'[1]Resumen'!$B$7:$D$156,3,0)</f>
        <v>Unidad</v>
      </c>
      <c r="E66" s="270">
        <v>60</v>
      </c>
      <c r="F66" s="260">
        <f t="shared" si="3"/>
        <v>60</v>
      </c>
      <c r="G66" s="60"/>
    </row>
    <row r="67" spans="1:7" ht="16.5" thickBot="1">
      <c r="A67" s="60"/>
      <c r="B67" s="60"/>
      <c r="C67" s="45"/>
      <c r="D67" s="60"/>
      <c r="E67" s="270" t="s">
        <v>12</v>
      </c>
      <c r="F67" s="305">
        <f>SUM(F60:F66)</f>
        <v>7482</v>
      </c>
      <c r="G67" s="60" t="s">
        <v>13</v>
      </c>
    </row>
    <row r="68" spans="1:8" ht="16.5" thickTop="1">
      <c r="A68" s="60"/>
      <c r="B68" s="60"/>
      <c r="C68" s="45"/>
      <c r="D68" s="60"/>
      <c r="E68" s="46" t="s">
        <v>5</v>
      </c>
      <c r="F68" s="47">
        <f>SUMIF(E58:E67,"Subtotal",F58:F67)</f>
        <v>7482</v>
      </c>
      <c r="G68" s="60"/>
      <c r="H68" s="78"/>
    </row>
    <row r="69" spans="1:7" ht="15.75">
      <c r="A69" s="64" t="s">
        <v>221</v>
      </c>
      <c r="B69" s="60"/>
      <c r="C69" s="251">
        <v>225</v>
      </c>
      <c r="D69" s="60" t="s">
        <v>160</v>
      </c>
      <c r="E69" s="46"/>
      <c r="F69" s="47"/>
      <c r="G69" s="60"/>
    </row>
    <row r="70" spans="1:7" ht="15">
      <c r="A70" s="60" t="s">
        <v>6</v>
      </c>
      <c r="B70" s="60"/>
      <c r="C70" s="48"/>
      <c r="D70" s="60"/>
      <c r="E70" s="48"/>
      <c r="F70" s="48"/>
      <c r="G70" s="60"/>
    </row>
    <row r="71" spans="1:7" ht="16.5" customHeight="1">
      <c r="A71" s="60"/>
      <c r="B71" s="60" t="s">
        <v>152</v>
      </c>
      <c r="C71" s="251">
        <v>5</v>
      </c>
      <c r="D71" s="238" t="str">
        <f>VLOOKUP(B71,'[1]Resumen'!$B$7:$D$156,3,0)</f>
        <v>bolsas</v>
      </c>
      <c r="E71" s="270">
        <f>VLOOKUP(B71,'[1]Resumen'!B$7:E$156,4,FALSE)</f>
        <v>180</v>
      </c>
      <c r="F71" s="260">
        <f>E71*C71</f>
        <v>900</v>
      </c>
      <c r="G71" s="60"/>
    </row>
    <row r="72" spans="1:7" ht="16.5" customHeight="1">
      <c r="A72" s="60"/>
      <c r="B72" s="60" t="s">
        <v>150</v>
      </c>
      <c r="C72" s="251">
        <v>0.8</v>
      </c>
      <c r="D72" s="238" t="str">
        <f>VLOOKUP(B72,'[1]Resumen'!$B$7:$D$156,3,0)</f>
        <v>m3</v>
      </c>
      <c r="E72" s="270">
        <f>VLOOKUP(B72,'[1]Resumen'!B$7:E$156,4,FALSE)</f>
        <v>700</v>
      </c>
      <c r="F72" s="260">
        <f>E72*C72</f>
        <v>560</v>
      </c>
      <c r="G72" s="60"/>
    </row>
    <row r="73" spans="1:7" ht="15.75">
      <c r="A73" s="239"/>
      <c r="B73" s="598" t="s">
        <v>291</v>
      </c>
      <c r="C73" s="598"/>
      <c r="D73" s="598"/>
      <c r="E73" s="598"/>
      <c r="F73" s="265">
        <f>SUM(F71:F72)</f>
        <v>1460</v>
      </c>
      <c r="G73" s="60" t="s">
        <v>13</v>
      </c>
    </row>
    <row r="74" spans="1:7" ht="15.75">
      <c r="A74" s="60"/>
      <c r="B74" s="60"/>
      <c r="C74" s="251"/>
      <c r="D74" s="60"/>
      <c r="E74" s="270"/>
      <c r="F74" s="258"/>
      <c r="G74" s="60"/>
    </row>
    <row r="75" spans="1:7" ht="15.75">
      <c r="A75" s="64" t="s">
        <v>129</v>
      </c>
      <c r="B75" s="60"/>
      <c r="C75" s="249">
        <v>109</v>
      </c>
      <c r="D75" s="64" t="s">
        <v>7</v>
      </c>
      <c r="E75" s="60"/>
      <c r="F75" s="60"/>
      <c r="G75" s="60"/>
    </row>
    <row r="76" spans="1:7" ht="15.75">
      <c r="A76" s="60"/>
      <c r="B76" s="60"/>
      <c r="C76" s="66"/>
      <c r="D76" s="60"/>
      <c r="E76" s="66"/>
      <c r="F76" s="243"/>
      <c r="G76" s="60"/>
    </row>
    <row r="77" spans="1:7" ht="15">
      <c r="A77" s="60"/>
      <c r="B77" s="60" t="s">
        <v>128</v>
      </c>
      <c r="C77" s="251">
        <v>114</v>
      </c>
      <c r="D77" s="238" t="str">
        <f>VLOOKUP(B77,'[1]Resumen'!$B$7:$D$156,3,0)</f>
        <v>Unidad</v>
      </c>
      <c r="E77" s="270">
        <f>VLOOKUP(B77,'[1]Resumen'!B$7:E$156,4,FALSE)</f>
        <v>54</v>
      </c>
      <c r="F77" s="260">
        <f>SUM(C77*E77)</f>
        <v>6156</v>
      </c>
      <c r="G77" s="60"/>
    </row>
    <row r="78" spans="1:7" ht="15">
      <c r="A78" s="60"/>
      <c r="B78" s="68" t="s">
        <v>130</v>
      </c>
      <c r="C78" s="251">
        <v>114</v>
      </c>
      <c r="D78" s="238" t="str">
        <f>VLOOKUP(B78,'[1]Resumen'!$B$7:$D$156,3,0)</f>
        <v>Unidad</v>
      </c>
      <c r="E78" s="270">
        <f>VLOOKUP(B78,'[1]Resumen'!B$7:E$156,4,FALSE)</f>
        <v>2.6</v>
      </c>
      <c r="F78" s="260">
        <f>SUM(C78*E78)</f>
        <v>296.40000000000003</v>
      </c>
      <c r="G78" s="60"/>
    </row>
    <row r="79" spans="1:7" ht="15">
      <c r="A79" s="60"/>
      <c r="B79" s="68" t="s">
        <v>131</v>
      </c>
      <c r="C79" s="251">
        <v>327</v>
      </c>
      <c r="D79" s="238" t="str">
        <f>VLOOKUP(B79,'[1]Resumen'!$B$7:$D$156,3,0)</f>
        <v>Unidad</v>
      </c>
      <c r="E79" s="270">
        <f>VLOOKUP(B79,'[1]Resumen'!B$7:E$156,4,FALSE)</f>
        <v>10</v>
      </c>
      <c r="F79" s="260">
        <f>E79*C79</f>
        <v>3270</v>
      </c>
      <c r="G79" s="60"/>
    </row>
    <row r="80" spans="1:7" ht="15">
      <c r="A80" s="60"/>
      <c r="B80" s="247" t="s">
        <v>99</v>
      </c>
      <c r="C80" s="251">
        <v>114</v>
      </c>
      <c r="D80" s="238" t="str">
        <f>VLOOKUP(B80,'[1]Resumen'!$B$7:$D$156,3,0)</f>
        <v>Unidad</v>
      </c>
      <c r="E80" s="270">
        <f>VLOOKUP(B80,'[1]Resumen'!B$7:E$156,4,FALSE)</f>
        <v>2.63</v>
      </c>
      <c r="F80" s="260">
        <f>E80*C80</f>
        <v>299.82</v>
      </c>
      <c r="G80" s="60"/>
    </row>
    <row r="81" spans="1:7" ht="15">
      <c r="A81" s="60"/>
      <c r="B81" s="60" t="s">
        <v>260</v>
      </c>
      <c r="C81" s="251">
        <v>109</v>
      </c>
      <c r="D81" s="238" t="s">
        <v>3</v>
      </c>
      <c r="E81" s="270">
        <v>550</v>
      </c>
      <c r="F81" s="260">
        <f>E81*C81</f>
        <v>59950</v>
      </c>
      <c r="G81" s="60"/>
    </row>
    <row r="82" spans="1:7" ht="15">
      <c r="A82" s="60"/>
      <c r="B82" s="60" t="s">
        <v>119</v>
      </c>
      <c r="C82" s="251">
        <v>109</v>
      </c>
      <c r="D82" s="238" t="str">
        <f>VLOOKUP(B82,'[1]Resumen'!$B$7:$D$156,3,0)</f>
        <v>Unidad</v>
      </c>
      <c r="E82" s="270">
        <f>VLOOKUP(B82,'[1]Resumen'!B$7:E$156,4,FALSE)</f>
        <v>850</v>
      </c>
      <c r="F82" s="260">
        <f>E82*C82</f>
        <v>92650</v>
      </c>
      <c r="G82" s="60"/>
    </row>
    <row r="83" spans="1:7" ht="16.5" thickBot="1">
      <c r="A83" s="239"/>
      <c r="B83" s="239"/>
      <c r="C83" s="598" t="s">
        <v>292</v>
      </c>
      <c r="D83" s="598"/>
      <c r="E83" s="598"/>
      <c r="F83" s="306">
        <f>SUM(F77:F82)</f>
        <v>162622.22</v>
      </c>
      <c r="G83" s="60" t="s">
        <v>22</v>
      </c>
    </row>
    <row r="84" spans="1:7" ht="15.75" thickTop="1">
      <c r="A84" s="60"/>
      <c r="B84" s="60"/>
      <c r="C84" s="251"/>
      <c r="D84" s="238"/>
      <c r="E84" s="270"/>
      <c r="F84" s="260"/>
      <c r="G84" s="60"/>
    </row>
    <row r="85" spans="1:7" ht="15.75">
      <c r="A85" s="60"/>
      <c r="B85" s="60"/>
      <c r="C85" s="251"/>
      <c r="D85" s="307" t="s">
        <v>75</v>
      </c>
      <c r="E85" s="308"/>
      <c r="F85" s="359">
        <f>SUM(F83+F73+F68+F56+F46)</f>
        <v>349962.6</v>
      </c>
      <c r="G85" s="60"/>
    </row>
    <row r="86" spans="1:7" ht="15">
      <c r="A86" s="60"/>
      <c r="B86" s="60"/>
      <c r="C86" s="251"/>
      <c r="D86" s="238"/>
      <c r="E86" s="270"/>
      <c r="F86" s="260"/>
      <c r="G86" s="60"/>
    </row>
    <row r="87" spans="1:7" ht="15.75">
      <c r="A87" s="60"/>
      <c r="B87" s="603" t="s">
        <v>350</v>
      </c>
      <c r="C87" s="603"/>
      <c r="D87" s="603"/>
      <c r="E87" s="270">
        <f>F36+F56+F68+F73</f>
        <v>182860</v>
      </c>
      <c r="F87" s="260"/>
      <c r="G87" s="60"/>
    </row>
    <row r="88" spans="1:7" ht="15.75">
      <c r="A88" s="60"/>
      <c r="B88" s="603" t="s">
        <v>351</v>
      </c>
      <c r="C88" s="603"/>
      <c r="D88" s="603"/>
      <c r="E88" s="270">
        <f>F83+F45</f>
        <v>167102.6</v>
      </c>
      <c r="F88" s="260"/>
      <c r="G88" s="60"/>
    </row>
    <row r="89" spans="1:7" ht="15.75">
      <c r="A89" s="60"/>
      <c r="B89" s="60"/>
      <c r="C89" s="251"/>
      <c r="D89" s="238"/>
      <c r="E89" s="359">
        <f>SUM(E87:E88)</f>
        <v>349962.6</v>
      </c>
      <c r="G89" s="60"/>
    </row>
    <row r="90" spans="1:7" ht="15">
      <c r="A90" s="60"/>
      <c r="B90" s="60"/>
      <c r="C90" s="251"/>
      <c r="D90" s="238"/>
      <c r="E90" s="270"/>
      <c r="F90" s="260"/>
      <c r="G90" s="60"/>
    </row>
    <row r="91" spans="1:7" ht="15">
      <c r="A91" s="60"/>
      <c r="B91" s="60"/>
      <c r="C91" s="251"/>
      <c r="D91" s="238"/>
      <c r="E91" s="270"/>
      <c r="F91" s="260"/>
      <c r="G91" s="60"/>
    </row>
    <row r="92" spans="1:7" ht="15">
      <c r="A92" s="60"/>
      <c r="B92" s="60"/>
      <c r="C92" s="251"/>
      <c r="D92" s="238"/>
      <c r="E92" s="270"/>
      <c r="F92" s="260"/>
      <c r="G92" s="60"/>
    </row>
    <row r="93" spans="1:7" ht="15">
      <c r="A93" s="60"/>
      <c r="B93" s="60"/>
      <c r="C93" s="251"/>
      <c r="D93" s="238"/>
      <c r="E93" s="270"/>
      <c r="F93" s="260"/>
      <c r="G93" s="60"/>
    </row>
    <row r="94" spans="1:7" ht="15">
      <c r="A94" s="60"/>
      <c r="B94" s="68"/>
      <c r="C94" s="251"/>
      <c r="D94" s="238"/>
      <c r="E94" s="270"/>
      <c r="F94" s="260"/>
      <c r="G94" s="60"/>
    </row>
    <row r="95" spans="1:7" ht="15">
      <c r="A95" s="60"/>
      <c r="B95" s="68"/>
      <c r="C95" s="251"/>
      <c r="D95" s="238"/>
      <c r="E95" s="270"/>
      <c r="F95" s="260"/>
      <c r="G95" s="60"/>
    </row>
    <row r="96" spans="1:7" ht="15">
      <c r="A96" s="60"/>
      <c r="B96" s="68"/>
      <c r="C96" s="251"/>
      <c r="D96" s="238"/>
      <c r="E96" s="270"/>
      <c r="F96" s="260"/>
      <c r="G96" s="60"/>
    </row>
    <row r="97" spans="1:7" ht="15">
      <c r="A97" s="60"/>
      <c r="B97" s="68"/>
      <c r="C97" s="251"/>
      <c r="D97" s="238"/>
      <c r="E97" s="270"/>
      <c r="F97" s="260"/>
      <c r="G97" s="60"/>
    </row>
    <row r="98" spans="1:7" ht="15">
      <c r="A98" s="60"/>
      <c r="B98" s="68"/>
      <c r="C98" s="251"/>
      <c r="D98" s="238"/>
      <c r="E98" s="270"/>
      <c r="F98" s="260"/>
      <c r="G98" s="60"/>
    </row>
    <row r="99" spans="1:7" ht="15">
      <c r="A99" s="60"/>
      <c r="B99" s="60"/>
      <c r="C99" s="251"/>
      <c r="D99" s="238"/>
      <c r="E99" s="270"/>
      <c r="F99" s="260"/>
      <c r="G99" s="60"/>
    </row>
    <row r="100" spans="1:7" ht="15.75">
      <c r="A100" s="60"/>
      <c r="B100" s="60"/>
      <c r="C100" s="251"/>
      <c r="D100" s="60"/>
      <c r="E100" s="270"/>
      <c r="F100" s="258"/>
      <c r="G100" s="60"/>
    </row>
    <row r="101" spans="1:7" ht="15.75">
      <c r="A101" s="64"/>
      <c r="B101" s="60"/>
      <c r="C101" s="51"/>
      <c r="D101" s="60"/>
      <c r="E101" s="48"/>
      <c r="F101" s="48"/>
      <c r="G101" s="60"/>
    </row>
    <row r="102" spans="1:7" ht="15.75">
      <c r="A102" s="64"/>
      <c r="B102" s="60"/>
      <c r="C102" s="251"/>
      <c r="D102" s="238"/>
      <c r="E102" s="270"/>
      <c r="F102" s="260"/>
      <c r="G102" s="60"/>
    </row>
    <row r="103" spans="1:6" ht="15">
      <c r="A103" s="2"/>
      <c r="B103" s="2"/>
      <c r="C103" s="52"/>
      <c r="D103" s="2"/>
      <c r="E103" s="48"/>
      <c r="F103" s="48"/>
    </row>
    <row r="104" spans="1:6" ht="15">
      <c r="A104" s="2"/>
      <c r="B104" s="2"/>
      <c r="C104" s="52"/>
      <c r="D104" s="2"/>
      <c r="E104" s="48"/>
      <c r="F104" s="48"/>
    </row>
    <row r="105" spans="1:6" ht="15">
      <c r="A105" s="2"/>
      <c r="B105" s="2"/>
      <c r="C105" s="52"/>
      <c r="D105" s="2"/>
      <c r="E105" s="48"/>
      <c r="F105" s="48"/>
    </row>
    <row r="106" spans="1:6" ht="15">
      <c r="A106" s="2"/>
      <c r="B106" s="2"/>
      <c r="C106" s="52"/>
      <c r="D106" s="2"/>
      <c r="E106" s="48"/>
      <c r="F106" s="48"/>
    </row>
    <row r="107" spans="1:6" ht="15">
      <c r="A107" s="2"/>
      <c r="B107" s="2"/>
      <c r="C107" s="52"/>
      <c r="D107" s="2"/>
      <c r="E107" s="48"/>
      <c r="F107" s="48"/>
    </row>
    <row r="108" spans="1:6" ht="15">
      <c r="A108" s="2"/>
      <c r="B108" s="2"/>
      <c r="C108" s="52"/>
      <c r="D108" s="2"/>
      <c r="E108" s="48"/>
      <c r="F108" s="48"/>
    </row>
    <row r="109" spans="1:6" ht="15">
      <c r="A109" s="2"/>
      <c r="B109" s="2"/>
      <c r="C109" s="52"/>
      <c r="D109" s="2"/>
      <c r="E109" s="48"/>
      <c r="F109" s="48"/>
    </row>
    <row r="110" spans="1:6" ht="15">
      <c r="A110" s="2"/>
      <c r="B110" s="2"/>
      <c r="C110" s="52"/>
      <c r="D110" s="2"/>
      <c r="E110" s="48"/>
      <c r="F110" s="48"/>
    </row>
    <row r="111" spans="1:6" ht="15">
      <c r="A111" s="2"/>
      <c r="B111" s="2"/>
      <c r="C111" s="52"/>
      <c r="D111" s="2"/>
      <c r="E111" s="48"/>
      <c r="F111" s="48"/>
    </row>
    <row r="112" spans="1:6" ht="15">
      <c r="A112" s="2"/>
      <c r="B112" s="2"/>
      <c r="C112" s="52"/>
      <c r="D112" s="2"/>
      <c r="E112" s="48"/>
      <c r="F112" s="48"/>
    </row>
    <row r="113" spans="1:6" ht="15">
      <c r="A113" s="2"/>
      <c r="B113" s="2"/>
      <c r="C113" s="52"/>
      <c r="D113" s="2"/>
      <c r="E113" s="48"/>
      <c r="F113" s="48"/>
    </row>
    <row r="114" spans="1:6" ht="15">
      <c r="A114" s="2"/>
      <c r="B114" s="2"/>
      <c r="C114" s="52"/>
      <c r="D114" s="2"/>
      <c r="E114" s="48"/>
      <c r="F114" s="48"/>
    </row>
    <row r="115" spans="1:6" ht="15">
      <c r="A115" s="2"/>
      <c r="B115" s="2"/>
      <c r="C115" s="52"/>
      <c r="D115" s="2"/>
      <c r="E115" s="48"/>
      <c r="F115" s="48"/>
    </row>
    <row r="116" spans="1:6" ht="15">
      <c r="A116" s="2"/>
      <c r="B116" s="2"/>
      <c r="C116" s="52"/>
      <c r="D116" s="2"/>
      <c r="E116" s="48"/>
      <c r="F116" s="48"/>
    </row>
    <row r="117" spans="1:6" ht="15">
      <c r="A117" s="2"/>
      <c r="B117" s="2"/>
      <c r="C117" s="52"/>
      <c r="D117" s="2"/>
      <c r="E117" s="48"/>
      <c r="F117" s="48"/>
    </row>
    <row r="118" spans="1:6" ht="15">
      <c r="A118" s="2"/>
      <c r="B118" s="2"/>
      <c r="C118" s="52"/>
      <c r="D118" s="2"/>
      <c r="E118" s="48"/>
      <c r="F118" s="48"/>
    </row>
    <row r="119" spans="1:6" ht="15">
      <c r="A119" s="2"/>
      <c r="B119" s="2"/>
      <c r="C119" s="52"/>
      <c r="D119" s="2"/>
      <c r="E119" s="48"/>
      <c r="F119" s="48"/>
    </row>
    <row r="120" spans="1:6" ht="15">
      <c r="A120" s="2"/>
      <c r="B120" s="2"/>
      <c r="C120" s="52"/>
      <c r="D120" s="2"/>
      <c r="E120" s="48"/>
      <c r="F120" s="48"/>
    </row>
    <row r="121" spans="1:6" ht="15">
      <c r="A121" s="2"/>
      <c r="B121" s="2"/>
      <c r="C121" s="52"/>
      <c r="D121" s="2"/>
      <c r="E121" s="48"/>
      <c r="F121" s="48"/>
    </row>
    <row r="122" spans="1:6" ht="15">
      <c r="A122" s="2"/>
      <c r="B122" s="2"/>
      <c r="C122" s="52"/>
      <c r="D122" s="2"/>
      <c r="E122" s="48"/>
      <c r="F122" s="48"/>
    </row>
    <row r="123" spans="1:6" ht="15">
      <c r="A123" s="2"/>
      <c r="B123" s="2"/>
      <c r="C123" s="52"/>
      <c r="D123" s="2"/>
      <c r="E123" s="48"/>
      <c r="F123" s="48"/>
    </row>
    <row r="124" spans="1:6" ht="15">
      <c r="A124" s="2"/>
      <c r="B124" s="2"/>
      <c r="C124" s="52"/>
      <c r="D124" s="2"/>
      <c r="E124" s="48"/>
      <c r="F124" s="48"/>
    </row>
    <row r="125" spans="1:6" ht="15">
      <c r="A125" s="2"/>
      <c r="B125" s="2"/>
      <c r="C125" s="52"/>
      <c r="D125" s="2"/>
      <c r="E125" s="48"/>
      <c r="F125" s="48"/>
    </row>
    <row r="126" spans="1:6" ht="15">
      <c r="A126" s="2"/>
      <c r="B126" s="2"/>
      <c r="C126" s="52"/>
      <c r="D126" s="2"/>
      <c r="E126" s="48"/>
      <c r="F126" s="48"/>
    </row>
    <row r="127" spans="1:6" ht="15">
      <c r="A127" s="2"/>
      <c r="B127" s="2"/>
      <c r="C127" s="52"/>
      <c r="D127" s="2"/>
      <c r="E127" s="48"/>
      <c r="F127" s="48"/>
    </row>
    <row r="128" spans="1:6" ht="15">
      <c r="A128" s="2"/>
      <c r="B128" s="2"/>
      <c r="C128" s="52"/>
      <c r="D128" s="2"/>
      <c r="E128" s="48"/>
      <c r="F128" s="48"/>
    </row>
    <row r="129" spans="1:6" ht="15">
      <c r="A129" s="2"/>
      <c r="B129" s="2"/>
      <c r="C129" s="52"/>
      <c r="D129" s="2"/>
      <c r="E129" s="48"/>
      <c r="F129" s="48"/>
    </row>
    <row r="130" spans="1:6" ht="15">
      <c r="A130" s="2"/>
      <c r="B130" s="2"/>
      <c r="C130" s="52"/>
      <c r="D130" s="2"/>
      <c r="E130" s="48"/>
      <c r="F130" s="48"/>
    </row>
    <row r="131" spans="1:6" ht="15">
      <c r="A131" s="2"/>
      <c r="B131" s="2"/>
      <c r="C131" s="52"/>
      <c r="D131" s="2"/>
      <c r="E131" s="48"/>
      <c r="F131" s="48"/>
    </row>
    <row r="132" spans="1:6" ht="15">
      <c r="A132" s="2"/>
      <c r="B132" s="2"/>
      <c r="C132" s="52"/>
      <c r="D132" s="2"/>
      <c r="E132" s="48"/>
      <c r="F132" s="48"/>
    </row>
    <row r="133" spans="1:6" ht="15">
      <c r="A133" s="2"/>
      <c r="B133" s="2"/>
      <c r="C133" s="52"/>
      <c r="D133" s="2"/>
      <c r="E133" s="48"/>
      <c r="F133" s="48"/>
    </row>
    <row r="134" spans="1:6" ht="15">
      <c r="A134" s="2"/>
      <c r="B134" s="2"/>
      <c r="C134" s="52"/>
      <c r="D134" s="2"/>
      <c r="E134" s="48"/>
      <c r="F134" s="48"/>
    </row>
    <row r="135" spans="1:6" ht="15">
      <c r="A135" s="2"/>
      <c r="B135" s="2"/>
      <c r="C135" s="52"/>
      <c r="D135" s="2"/>
      <c r="E135" s="48"/>
      <c r="F135" s="48"/>
    </row>
    <row r="136" spans="1:6" ht="15">
      <c r="A136" s="2"/>
      <c r="B136" s="2"/>
      <c r="C136" s="52"/>
      <c r="D136" s="2"/>
      <c r="E136" s="48"/>
      <c r="F136" s="48"/>
    </row>
    <row r="137" spans="1:6" ht="15">
      <c r="A137" s="2"/>
      <c r="B137" s="2"/>
      <c r="C137" s="52"/>
      <c r="D137" s="2"/>
      <c r="E137" s="48"/>
      <c r="F137" s="48"/>
    </row>
    <row r="138" spans="1:6" ht="15">
      <c r="A138" s="2"/>
      <c r="B138" s="2"/>
      <c r="C138" s="52"/>
      <c r="D138" s="2"/>
      <c r="E138" s="48"/>
      <c r="F138" s="48"/>
    </row>
    <row r="139" spans="1:6" ht="15">
      <c r="A139" s="2"/>
      <c r="B139" s="2"/>
      <c r="C139" s="52"/>
      <c r="D139" s="2"/>
      <c r="E139" s="48"/>
      <c r="F139" s="48"/>
    </row>
    <row r="140" spans="1:6" ht="15">
      <c r="A140" s="2"/>
      <c r="B140" s="2"/>
      <c r="C140" s="52"/>
      <c r="D140" s="2"/>
      <c r="E140" s="48"/>
      <c r="F140" s="48"/>
    </row>
    <row r="141" spans="1:6" ht="15">
      <c r="A141" s="2"/>
      <c r="B141" s="2"/>
      <c r="C141" s="52"/>
      <c r="D141" s="2"/>
      <c r="E141" s="48"/>
      <c r="F141" s="48"/>
    </row>
    <row r="142" spans="1:6" ht="15">
      <c r="A142" s="2"/>
      <c r="B142" s="2"/>
      <c r="C142" s="52"/>
      <c r="D142" s="2"/>
      <c r="E142" s="48"/>
      <c r="F142" s="48"/>
    </row>
    <row r="143" spans="1:6" ht="15">
      <c r="A143" s="2"/>
      <c r="B143" s="2"/>
      <c r="C143" s="52"/>
      <c r="D143" s="2"/>
      <c r="E143" s="48"/>
      <c r="F143" s="48"/>
    </row>
    <row r="144" spans="1:6" ht="15">
      <c r="A144" s="2"/>
      <c r="B144" s="2"/>
      <c r="C144" s="52"/>
      <c r="D144" s="2"/>
      <c r="E144" s="48"/>
      <c r="F144" s="48"/>
    </row>
    <row r="145" spans="1:6" ht="15">
      <c r="A145" s="2"/>
      <c r="B145" s="2"/>
      <c r="C145" s="52"/>
      <c r="D145" s="2"/>
      <c r="E145" s="48"/>
      <c r="F145" s="48"/>
    </row>
    <row r="146" spans="1:6" ht="15">
      <c r="A146" s="2"/>
      <c r="B146" s="2"/>
      <c r="C146" s="52"/>
      <c r="D146" s="2"/>
      <c r="E146" s="48"/>
      <c r="F146" s="48"/>
    </row>
    <row r="147" spans="1:6" ht="15">
      <c r="A147" s="2"/>
      <c r="B147" s="2"/>
      <c r="C147" s="52"/>
      <c r="D147" s="2"/>
      <c r="E147" s="48"/>
      <c r="F147" s="48"/>
    </row>
    <row r="148" spans="1:6" ht="15">
      <c r="A148" s="2"/>
      <c r="B148" s="2"/>
      <c r="C148" s="52"/>
      <c r="D148" s="2"/>
      <c r="E148" s="48"/>
      <c r="F148" s="48"/>
    </row>
    <row r="149" spans="1:6" ht="15">
      <c r="A149" s="2"/>
      <c r="B149" s="2"/>
      <c r="C149" s="52"/>
      <c r="D149" s="2"/>
      <c r="E149" s="48"/>
      <c r="F149" s="48"/>
    </row>
  </sheetData>
  <sheetProtection/>
  <mergeCells count="11">
    <mergeCell ref="B87:D87"/>
    <mergeCell ref="B88:D88"/>
    <mergeCell ref="C45:E45"/>
    <mergeCell ref="B73:E73"/>
    <mergeCell ref="C83:E83"/>
    <mergeCell ref="B56:E56"/>
    <mergeCell ref="E8:E9"/>
    <mergeCell ref="A5:F5"/>
    <mergeCell ref="C36:E36"/>
    <mergeCell ref="A6:F6"/>
    <mergeCell ref="A9:B9"/>
  </mergeCells>
  <printOptions horizontalCentered="1" verticalCentered="1"/>
  <pageMargins left="0.5905511811023623" right="0.23" top="0.7874015748031497" bottom="1.11" header="0.3937007874015748" footer="0.74"/>
  <pageSetup fitToHeight="6" horizontalDpi="180" verticalDpi="180" orientation="portrait" scale="65" r:id="rId1"/>
  <headerFooter alignWithMargins="0">
    <oddHeader>&amp;LProyecto de Agua Potable.
Estudio de Factibilidad 2,008&amp;RComunidad  Mongallo/Negrowas
Municipio Siuna RAAN</oddHeader>
    <oddFooter>&amp;L&amp;F
&amp;D&amp;C&amp;P&amp;RAPLV - Rio Blanco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198"/>
  <sheetViews>
    <sheetView workbookViewId="0" topLeftCell="A49">
      <selection activeCell="F67" sqref="F67"/>
    </sheetView>
  </sheetViews>
  <sheetFormatPr defaultColWidth="11.421875" defaultRowHeight="12.75"/>
  <cols>
    <col min="1" max="1" width="7.140625" style="18" customWidth="1"/>
    <col min="2" max="2" width="49.28125" style="18" customWidth="1"/>
    <col min="3" max="3" width="13.140625" style="61" customWidth="1"/>
    <col min="4" max="4" width="8.7109375" style="18" customWidth="1"/>
    <col min="5" max="5" width="16.28125" style="71" customWidth="1"/>
    <col min="6" max="6" width="17.57421875" style="19" customWidth="1"/>
    <col min="7" max="7" width="17.28125" style="2" customWidth="1"/>
    <col min="8" max="8" width="14.00390625" style="19" bestFit="1" customWidth="1"/>
    <col min="9" max="16384" width="11.421875" style="18" customWidth="1"/>
  </cols>
  <sheetData>
    <row r="1" spans="1:5" ht="15.75">
      <c r="A1" s="150" t="s">
        <v>278</v>
      </c>
      <c r="B1" s="150"/>
      <c r="C1" s="150"/>
      <c r="D1" s="150"/>
      <c r="E1" s="150"/>
    </row>
    <row r="2" spans="1:5" ht="15.75">
      <c r="A2" s="150" t="s">
        <v>283</v>
      </c>
      <c r="B2" s="150"/>
      <c r="C2" s="150"/>
      <c r="D2" s="150"/>
      <c r="E2" s="150"/>
    </row>
    <row r="3" spans="1:5" ht="15.75">
      <c r="A3" s="150" t="s">
        <v>284</v>
      </c>
      <c r="B3" s="150"/>
      <c r="C3" s="150"/>
      <c r="D3" s="150"/>
      <c r="E3" s="150"/>
    </row>
    <row r="5" spans="1:6" ht="15.75">
      <c r="A5" s="601" t="s">
        <v>297</v>
      </c>
      <c r="B5" s="601"/>
      <c r="C5" s="601"/>
      <c r="D5" s="601"/>
      <c r="E5" s="601"/>
      <c r="F5" s="601"/>
    </row>
    <row r="6" spans="1:6" ht="15.75">
      <c r="A6" s="601" t="s">
        <v>319</v>
      </c>
      <c r="B6" s="601"/>
      <c r="C6" s="601"/>
      <c r="D6" s="601"/>
      <c r="E6" s="601"/>
      <c r="F6" s="601"/>
    </row>
    <row r="7" spans="1:7" ht="15.75">
      <c r="A7" s="74"/>
      <c r="B7" s="74"/>
      <c r="C7" s="50"/>
      <c r="D7" s="74"/>
      <c r="E7" s="176"/>
      <c r="F7" s="51"/>
      <c r="G7" s="9"/>
    </row>
    <row r="8" spans="1:8" s="2" customFormat="1" ht="36" customHeight="1">
      <c r="A8" s="44" t="s">
        <v>0</v>
      </c>
      <c r="B8" s="44" t="s">
        <v>1</v>
      </c>
      <c r="C8" s="50" t="s">
        <v>2</v>
      </c>
      <c r="D8" s="74" t="s">
        <v>3</v>
      </c>
      <c r="E8" s="177" t="s">
        <v>4</v>
      </c>
      <c r="F8" s="51" t="s">
        <v>5</v>
      </c>
      <c r="H8" s="48"/>
    </row>
    <row r="9" spans="1:6" ht="15.75">
      <c r="A9" s="2"/>
      <c r="B9" s="2"/>
      <c r="C9" s="256"/>
      <c r="D9" s="2"/>
      <c r="E9" s="179"/>
      <c r="F9" s="47"/>
    </row>
    <row r="10" spans="1:6" ht="15.75">
      <c r="A10" s="255" t="s">
        <v>318</v>
      </c>
      <c r="B10" s="259"/>
      <c r="C10" s="261"/>
      <c r="D10" s="262"/>
      <c r="E10" s="182"/>
      <c r="F10" s="263"/>
    </row>
    <row r="11" spans="1:6" ht="15.75">
      <c r="A11" s="151" t="s">
        <v>178</v>
      </c>
      <c r="B11" s="151"/>
      <c r="C11" s="178" t="s">
        <v>177</v>
      </c>
      <c r="D11" s="44" t="s">
        <v>160</v>
      </c>
      <c r="E11" s="66"/>
      <c r="F11" s="258"/>
    </row>
    <row r="12" spans="1:6" ht="15">
      <c r="A12" s="2" t="s">
        <v>23</v>
      </c>
      <c r="B12" s="2"/>
      <c r="C12" s="49"/>
      <c r="D12" s="2"/>
      <c r="E12" s="65"/>
      <c r="F12" s="48"/>
    </row>
    <row r="13" spans="1:6" ht="15">
      <c r="A13" s="2"/>
      <c r="B13" s="2" t="s">
        <v>121</v>
      </c>
      <c r="C13" s="49">
        <v>218</v>
      </c>
      <c r="D13" s="49" t="str">
        <f>VLOOKUP(B13,'[1]Resumen'!$B$7:$D$156,3,0)</f>
        <v>Unidad</v>
      </c>
      <c r="E13" s="264">
        <f>VLOOKUP(B13,'[1]Resumen'!B$7:E$156,4,FALSE)</f>
        <v>112</v>
      </c>
      <c r="F13" s="260">
        <f aca="true" t="shared" si="0" ref="F13:F18">E13*C13</f>
        <v>24416</v>
      </c>
    </row>
    <row r="14" spans="1:6" ht="15">
      <c r="A14" s="2"/>
      <c r="B14" s="2" t="s">
        <v>251</v>
      </c>
      <c r="C14" s="49">
        <v>35</v>
      </c>
      <c r="D14" s="49" t="str">
        <f>VLOOKUP(B14,'[1]Resumen'!$B$7:$D$156,3,0)</f>
        <v>Unidad</v>
      </c>
      <c r="E14" s="264">
        <f>VLOOKUP(B14,'[1]Resumen'!B$7:E$156,4,FALSE)</f>
        <v>187</v>
      </c>
      <c r="F14" s="260">
        <f t="shared" si="0"/>
        <v>6545</v>
      </c>
    </row>
    <row r="15" spans="1:6" ht="15">
      <c r="A15" s="2"/>
      <c r="B15" s="2" t="s">
        <v>252</v>
      </c>
      <c r="C15" s="49">
        <v>95</v>
      </c>
      <c r="D15" s="49" t="str">
        <f>VLOOKUP(B15,'[1]Resumen'!$B$7:$D$156,3,0)</f>
        <v>Unidad</v>
      </c>
      <c r="E15" s="264">
        <f>VLOOKUP(B15,'[1]Resumen'!B$7:E$156,4,FALSE)</f>
        <v>188</v>
      </c>
      <c r="F15" s="260">
        <f t="shared" si="0"/>
        <v>17860</v>
      </c>
    </row>
    <row r="16" spans="1:6" ht="15">
      <c r="A16" s="2"/>
      <c r="B16" s="2" t="s">
        <v>123</v>
      </c>
      <c r="C16" s="49">
        <v>224</v>
      </c>
      <c r="D16" s="49" t="str">
        <f>VLOOKUP(B16,'[1]Resumen'!$B$7:$D$156,3,0)</f>
        <v>Unidad</v>
      </c>
      <c r="E16" s="264">
        <f>VLOOKUP(B16,'[1]Resumen'!B$7:E$156,4,FALSE)</f>
        <v>315</v>
      </c>
      <c r="F16" s="260">
        <f t="shared" si="0"/>
        <v>70560</v>
      </c>
    </row>
    <row r="17" spans="1:6" ht="15">
      <c r="A17" s="2"/>
      <c r="B17" s="2" t="s">
        <v>122</v>
      </c>
      <c r="C17" s="49">
        <v>38</v>
      </c>
      <c r="D17" s="49" t="str">
        <f>VLOOKUP(B17,'[1]Resumen'!$B$7:$D$156,3,0)</f>
        <v>Unidad</v>
      </c>
      <c r="E17" s="264">
        <f>VLOOKUP(B17,'[1]Resumen'!B$7:E$156,4,FALSE)</f>
        <v>209</v>
      </c>
      <c r="F17" s="260">
        <f t="shared" si="0"/>
        <v>7942</v>
      </c>
    </row>
    <row r="18" spans="1:6" ht="15">
      <c r="A18" s="2"/>
      <c r="B18" s="2" t="s">
        <v>176</v>
      </c>
      <c r="C18" s="49">
        <v>210</v>
      </c>
      <c r="D18" s="49" t="str">
        <f>VLOOKUP(B18,'[1]Resumen'!$B$7:$D$156,3,0)</f>
        <v>Unidad</v>
      </c>
      <c r="E18" s="264">
        <f>VLOOKUP(B18,'[1]Resumen'!B$7:E$156,4,FALSE)</f>
        <v>171</v>
      </c>
      <c r="F18" s="260">
        <f t="shared" si="0"/>
        <v>35910</v>
      </c>
    </row>
    <row r="19" spans="1:7" ht="15.75">
      <c r="A19" s="2"/>
      <c r="B19" s="2"/>
      <c r="C19" s="18"/>
      <c r="E19" s="18"/>
      <c r="F19" s="80">
        <f>SUM(F13:F18)</f>
        <v>163233</v>
      </c>
      <c r="G19" s="57" t="s">
        <v>20</v>
      </c>
    </row>
    <row r="20" spans="1:6" ht="15">
      <c r="A20" s="2" t="s">
        <v>46</v>
      </c>
      <c r="B20" s="2"/>
      <c r="C20" s="49"/>
      <c r="D20" s="2"/>
      <c r="E20" s="60" t="s">
        <v>8</v>
      </c>
      <c r="F20" s="48"/>
    </row>
    <row r="21" spans="1:6" ht="15">
      <c r="A21" s="2"/>
      <c r="B21" s="2" t="s">
        <v>102</v>
      </c>
      <c r="C21" s="256">
        <v>9</v>
      </c>
      <c r="D21" s="49" t="str">
        <f>VLOOKUP(B21,'[1]Resumen'!$B$7:$D$156,3,0)</f>
        <v>Unidad</v>
      </c>
      <c r="E21" s="264">
        <f>VLOOKUP(B21,'[1]Resumen'!B$7:E$156,4,FALSE)</f>
        <v>13.09</v>
      </c>
      <c r="F21" s="260">
        <f>E21*C21</f>
        <v>117.81</v>
      </c>
    </row>
    <row r="22" spans="1:7" ht="15">
      <c r="A22" s="2"/>
      <c r="B22" s="54" t="s">
        <v>27</v>
      </c>
      <c r="C22" s="256">
        <v>19</v>
      </c>
      <c r="D22" s="49" t="str">
        <f>VLOOKUP(B22,'[1]Resumen'!$B$7:$D$156,3,0)</f>
        <v>Unidad</v>
      </c>
      <c r="E22" s="264">
        <f>VLOOKUP(B22,'[1]Resumen'!B$7:E$156,4,FALSE)</f>
        <v>107.4</v>
      </c>
      <c r="F22" s="260">
        <f>E22*C22</f>
        <v>2040.6000000000001</v>
      </c>
      <c r="G22" s="57"/>
    </row>
    <row r="23" spans="1:7" ht="15.75">
      <c r="A23" s="2"/>
      <c r="B23" s="2"/>
      <c r="C23" s="18"/>
      <c r="E23" s="18"/>
      <c r="F23" s="80">
        <f>SUM(F21:F22)</f>
        <v>2158.4100000000003</v>
      </c>
      <c r="G23" s="2" t="s">
        <v>22</v>
      </c>
    </row>
    <row r="24" spans="1:6" ht="15.75">
      <c r="A24" s="259"/>
      <c r="B24" s="259"/>
      <c r="C24" s="604" t="s">
        <v>290</v>
      </c>
      <c r="D24" s="604"/>
      <c r="E24" s="604"/>
      <c r="F24" s="287">
        <f>SUM(F19+F23)</f>
        <v>165391.41</v>
      </c>
    </row>
    <row r="25" spans="1:6" ht="15.75">
      <c r="A25" s="266" t="s">
        <v>179</v>
      </c>
      <c r="B25" s="54"/>
      <c r="C25" s="178">
        <v>871</v>
      </c>
      <c r="D25" s="44" t="s">
        <v>160</v>
      </c>
      <c r="E25" s="66"/>
      <c r="F25" s="258"/>
    </row>
    <row r="26" spans="1:6" ht="15">
      <c r="A26" s="2" t="s">
        <v>23</v>
      </c>
      <c r="B26" s="2"/>
      <c r="C26" s="49"/>
      <c r="D26" s="2"/>
      <c r="E26" s="65"/>
      <c r="F26" s="48"/>
    </row>
    <row r="27" spans="1:6" ht="15">
      <c r="A27" s="2"/>
      <c r="B27" s="2" t="s">
        <v>176</v>
      </c>
      <c r="C27" s="49">
        <v>127</v>
      </c>
      <c r="D27" s="49" t="str">
        <f>VLOOKUP(B27,'[1]Resumen'!$B$7:$D$156,3,0)</f>
        <v>Unidad</v>
      </c>
      <c r="E27" s="264">
        <f>VLOOKUP(B27,'[1]Resumen'!B$7:E$156,4,FALSE)</f>
        <v>171</v>
      </c>
      <c r="F27" s="260">
        <f>E27*C27</f>
        <v>21717</v>
      </c>
    </row>
    <row r="28" spans="1:6" ht="15">
      <c r="A28" s="2"/>
      <c r="B28" s="2" t="s">
        <v>121</v>
      </c>
      <c r="C28" s="49">
        <v>26</v>
      </c>
      <c r="D28" s="49" t="str">
        <f>VLOOKUP(B28,'[1]Resumen'!$B$7:$D$156,3,0)</f>
        <v>Unidad</v>
      </c>
      <c r="E28" s="264">
        <f>VLOOKUP(B28,'[1]Resumen'!B$7:E$156,4,FALSE)</f>
        <v>112</v>
      </c>
      <c r="F28" s="260">
        <f>E28*C28</f>
        <v>2912</v>
      </c>
    </row>
    <row r="29" spans="1:7" ht="15.75">
      <c r="A29" s="2"/>
      <c r="B29" s="2"/>
      <c r="C29" s="256"/>
      <c r="D29" s="2"/>
      <c r="E29" s="66"/>
      <c r="F29" s="80">
        <f>SUM(F27:F28)</f>
        <v>24629</v>
      </c>
      <c r="G29" s="57" t="s">
        <v>20</v>
      </c>
    </row>
    <row r="30" spans="1:6" ht="15">
      <c r="A30" s="2" t="s">
        <v>46</v>
      </c>
      <c r="B30" s="2"/>
      <c r="C30" s="49"/>
      <c r="D30" s="2"/>
      <c r="E30" s="60" t="s">
        <v>8</v>
      </c>
      <c r="F30" s="48"/>
    </row>
    <row r="31" spans="1:6" ht="15">
      <c r="A31" s="2"/>
      <c r="B31" s="2" t="s">
        <v>102</v>
      </c>
      <c r="C31" s="256">
        <v>3</v>
      </c>
      <c r="D31" s="49" t="str">
        <f>VLOOKUP(B31,'[1]Resumen'!$B$7:$D$156,3,0)</f>
        <v>Unidad</v>
      </c>
      <c r="E31" s="264">
        <v>10</v>
      </c>
      <c r="F31" s="260">
        <f>E31*C31</f>
        <v>30</v>
      </c>
    </row>
    <row r="32" spans="1:7" ht="15">
      <c r="A32" s="2"/>
      <c r="B32" s="54" t="s">
        <v>27</v>
      </c>
      <c r="C32" s="256">
        <v>4</v>
      </c>
      <c r="D32" s="49" t="str">
        <f>VLOOKUP(B32,'[1]Resumen'!$B$7:$D$156,3,0)</f>
        <v>Unidad</v>
      </c>
      <c r="E32" s="264">
        <f>VLOOKUP(B32,'[1]Resumen'!B$7:E$156,4,FALSE)</f>
        <v>107.4</v>
      </c>
      <c r="F32" s="260">
        <f>E32*C32</f>
        <v>429.6</v>
      </c>
      <c r="G32" s="57"/>
    </row>
    <row r="33" spans="1:7" ht="15.75">
      <c r="A33" s="2"/>
      <c r="B33" s="54"/>
      <c r="C33" s="256"/>
      <c r="D33" s="257"/>
      <c r="E33" s="65"/>
      <c r="F33" s="80">
        <f>SUM(F31:F32)</f>
        <v>459.6</v>
      </c>
      <c r="G33" s="2" t="s">
        <v>22</v>
      </c>
    </row>
    <row r="34" spans="1:7" ht="15.75">
      <c r="A34" s="259"/>
      <c r="B34" s="259"/>
      <c r="C34" s="604" t="s">
        <v>290</v>
      </c>
      <c r="D34" s="604"/>
      <c r="E34" s="604"/>
      <c r="F34" s="287">
        <f>SUM(F29+F33)</f>
        <v>25088.6</v>
      </c>
      <c r="G34" s="18"/>
    </row>
    <row r="35" spans="1:9" ht="15.75">
      <c r="A35" s="266" t="s">
        <v>180</v>
      </c>
      <c r="B35" s="54"/>
      <c r="C35" s="178" t="s">
        <v>181</v>
      </c>
      <c r="D35" s="44" t="s">
        <v>160</v>
      </c>
      <c r="E35" s="66"/>
      <c r="F35" s="258"/>
      <c r="I35" s="181"/>
    </row>
    <row r="36" spans="1:6" ht="15">
      <c r="A36" s="2" t="s">
        <v>23</v>
      </c>
      <c r="B36" s="2"/>
      <c r="C36" s="49"/>
      <c r="D36" s="2"/>
      <c r="E36" s="65"/>
      <c r="F36" s="48"/>
    </row>
    <row r="37" spans="1:6" ht="15">
      <c r="A37" s="2"/>
      <c r="B37" s="2" t="s">
        <v>121</v>
      </c>
      <c r="C37" s="256">
        <v>180</v>
      </c>
      <c r="D37" s="49" t="str">
        <f>VLOOKUP(B37,'[1]Resumen'!$B$7:$D$156,3,0)</f>
        <v>Unidad</v>
      </c>
      <c r="E37" s="264">
        <f>VLOOKUP(B37,'[1]Resumen'!B$7:E$156,4,FALSE)</f>
        <v>112</v>
      </c>
      <c r="F37" s="260">
        <f>E37*C37</f>
        <v>20160</v>
      </c>
    </row>
    <row r="38" spans="1:6" ht="15">
      <c r="A38" s="2"/>
      <c r="B38" s="2" t="s">
        <v>123</v>
      </c>
      <c r="C38" s="256">
        <v>177</v>
      </c>
      <c r="D38" s="49" t="str">
        <f>VLOOKUP(B38,'[1]Resumen'!$B$7:$D$156,3,0)</f>
        <v>Unidad</v>
      </c>
      <c r="E38" s="264">
        <f>VLOOKUP(B38,'[1]Resumen'!B$7:E$156,4,FALSE)</f>
        <v>315</v>
      </c>
      <c r="F38" s="260">
        <f>E38*C38</f>
        <v>55755</v>
      </c>
    </row>
    <row r="39" spans="1:6" ht="15">
      <c r="A39" s="2"/>
      <c r="B39" s="2" t="s">
        <v>122</v>
      </c>
      <c r="C39" s="256">
        <v>526</v>
      </c>
      <c r="D39" s="49" t="str">
        <f>VLOOKUP(B39,'[1]Resumen'!$B$7:$D$156,3,0)</f>
        <v>Unidad</v>
      </c>
      <c r="E39" s="264">
        <f>VLOOKUP(B39,'[1]Resumen'!B$7:E$156,4,FALSE)</f>
        <v>209</v>
      </c>
      <c r="F39" s="260">
        <f>E39*C39</f>
        <v>109934</v>
      </c>
    </row>
    <row r="40" spans="1:6" ht="15">
      <c r="A40" s="2"/>
      <c r="B40" s="2" t="s">
        <v>176</v>
      </c>
      <c r="C40" s="256">
        <v>146</v>
      </c>
      <c r="D40" s="49" t="str">
        <f>VLOOKUP(B40,'[1]Resumen'!$B$7:$D$156,3,0)</f>
        <v>Unidad</v>
      </c>
      <c r="E40" s="264">
        <f>VLOOKUP(B40,'[1]Resumen'!B$7:E$156,4,FALSE)</f>
        <v>171</v>
      </c>
      <c r="F40" s="260">
        <f>E40*C40</f>
        <v>24966</v>
      </c>
    </row>
    <row r="41" spans="1:7" ht="15.75">
      <c r="A41" s="2"/>
      <c r="B41" s="2"/>
      <c r="C41" s="18"/>
      <c r="E41" s="18"/>
      <c r="F41" s="80">
        <f>SUM(F37:F40)</f>
        <v>210815</v>
      </c>
      <c r="G41" s="57" t="s">
        <v>20</v>
      </c>
    </row>
    <row r="42" spans="1:6" ht="15">
      <c r="A42" s="2" t="s">
        <v>46</v>
      </c>
      <c r="B42" s="2"/>
      <c r="C42" s="49"/>
      <c r="D42" s="2"/>
      <c r="E42" s="60" t="s">
        <v>8</v>
      </c>
      <c r="F42" s="48"/>
    </row>
    <row r="43" spans="1:6" ht="15">
      <c r="A43" s="2"/>
      <c r="B43" s="2" t="s">
        <v>102</v>
      </c>
      <c r="C43" s="256">
        <v>8</v>
      </c>
      <c r="D43" s="49" t="str">
        <f>VLOOKUP(B43,'[1]Resumen'!$B$7:$D$156,3,0)</f>
        <v>Unidad</v>
      </c>
      <c r="E43" s="264">
        <f>VLOOKUP(B43,'[1]Resumen'!B$7:E$156,4,FALSE)</f>
        <v>13.09</v>
      </c>
      <c r="F43" s="260">
        <f>E43*C43</f>
        <v>104.72</v>
      </c>
    </row>
    <row r="44" spans="1:7" ht="15">
      <c r="A44" s="2"/>
      <c r="B44" s="2" t="s">
        <v>27</v>
      </c>
      <c r="C44" s="256">
        <v>29</v>
      </c>
      <c r="D44" s="49" t="str">
        <f>VLOOKUP(B44,'[1]Resumen'!$B$7:$D$156,3,0)</f>
        <v>Unidad</v>
      </c>
      <c r="E44" s="264">
        <f>VLOOKUP(B44,'[1]Resumen'!B$7:E$156,4,FALSE)</f>
        <v>107.4</v>
      </c>
      <c r="F44" s="260">
        <f>E44*C44</f>
        <v>3114.6000000000004</v>
      </c>
      <c r="G44" s="57"/>
    </row>
    <row r="45" spans="1:7" ht="15.75">
      <c r="A45" s="2"/>
      <c r="B45" s="2"/>
      <c r="C45" s="18"/>
      <c r="E45" s="18"/>
      <c r="F45" s="80">
        <f>SUM(F43:F44)</f>
        <v>3219.32</v>
      </c>
      <c r="G45" s="2" t="s">
        <v>22</v>
      </c>
    </row>
    <row r="46" spans="1:6" ht="15.75">
      <c r="A46" s="259"/>
      <c r="B46" s="259"/>
      <c r="C46" s="604" t="s">
        <v>290</v>
      </c>
      <c r="D46" s="604"/>
      <c r="E46" s="604"/>
      <c r="F46" s="287">
        <f>SUM(F41+F45)</f>
        <v>214034.32</v>
      </c>
    </row>
    <row r="47" spans="1:7" ht="15.75">
      <c r="A47" s="267" t="s">
        <v>243</v>
      </c>
      <c r="B47" s="151"/>
      <c r="C47" s="178">
        <v>1000</v>
      </c>
      <c r="D47" s="44" t="s">
        <v>160</v>
      </c>
      <c r="E47" s="66"/>
      <c r="F47" s="80"/>
      <c r="G47" s="57"/>
    </row>
    <row r="48" spans="1:7" ht="15">
      <c r="A48" s="2"/>
      <c r="B48" s="54" t="s">
        <v>156</v>
      </c>
      <c r="C48" s="256">
        <v>184</v>
      </c>
      <c r="D48" s="49" t="str">
        <f>VLOOKUP(B48,'[1]Resumen'!$B$7:$D$156,3,0)</f>
        <v>Unidad</v>
      </c>
      <c r="E48" s="264">
        <f>VLOOKUP(B48,'[1]Resumen'!B$7:E$156,4,FALSE)</f>
        <v>492</v>
      </c>
      <c r="F48" s="260">
        <f>E48*C48</f>
        <v>90528</v>
      </c>
      <c r="G48" s="57"/>
    </row>
    <row r="49" spans="1:7" ht="15.75">
      <c r="A49" s="2"/>
      <c r="B49" s="2"/>
      <c r="C49" s="256"/>
      <c r="D49" s="2"/>
      <c r="E49" s="66" t="s">
        <v>12</v>
      </c>
      <c r="F49" s="80">
        <f>SUM(F48:F48)</f>
        <v>90528</v>
      </c>
      <c r="G49" s="57" t="s">
        <v>20</v>
      </c>
    </row>
    <row r="50" spans="1:7" ht="15.75">
      <c r="A50" s="2" t="s">
        <v>46</v>
      </c>
      <c r="B50" s="2"/>
      <c r="C50" s="256"/>
      <c r="D50" s="2"/>
      <c r="E50" s="66"/>
      <c r="F50" s="80"/>
      <c r="G50" s="57"/>
    </row>
    <row r="51" spans="1:7" ht="15">
      <c r="A51" s="2"/>
      <c r="B51" s="54" t="s">
        <v>204</v>
      </c>
      <c r="C51" s="256">
        <v>4</v>
      </c>
      <c r="D51" s="260" t="str">
        <f>VLOOKUP(B51,'[1]Resumen'!$B$7:$D$156,3,0)</f>
        <v>Unidad</v>
      </c>
      <c r="E51" s="260">
        <f>VLOOKUP(B51,'[1]Resumen'!B$7:E$156,4,FALSE)</f>
        <v>46.79</v>
      </c>
      <c r="F51" s="260">
        <f>E51*C51</f>
        <v>187.16</v>
      </c>
      <c r="G51" s="66"/>
    </row>
    <row r="52" spans="1:7" ht="15">
      <c r="A52" s="2"/>
      <c r="B52" s="2"/>
      <c r="C52" s="260"/>
      <c r="D52" s="260"/>
      <c r="E52" s="260" t="s">
        <v>12</v>
      </c>
      <c r="F52" s="260">
        <f>SUM(F51:F51)</f>
        <v>187.16</v>
      </c>
      <c r="G52" s="66" t="s">
        <v>22</v>
      </c>
    </row>
    <row r="53" spans="1:6" ht="15.75">
      <c r="A53" s="259"/>
      <c r="B53" s="259"/>
      <c r="C53" s="598" t="s">
        <v>292</v>
      </c>
      <c r="D53" s="598"/>
      <c r="E53" s="598"/>
      <c r="F53" s="288">
        <f>SUM(F49+F52)</f>
        <v>90715.16</v>
      </c>
    </row>
    <row r="54" spans="1:8" s="73" customFormat="1" ht="18.75">
      <c r="A54" s="266" t="s">
        <v>294</v>
      </c>
      <c r="B54" s="54"/>
      <c r="C54" s="178">
        <v>1</v>
      </c>
      <c r="D54" s="266" t="s">
        <v>7</v>
      </c>
      <c r="E54" s="68"/>
      <c r="F54" s="45"/>
      <c r="G54" s="54"/>
      <c r="H54" s="78"/>
    </row>
    <row r="55" spans="1:7" ht="15">
      <c r="A55" s="54" t="s">
        <v>28</v>
      </c>
      <c r="B55" s="54"/>
      <c r="C55" s="268"/>
      <c r="D55" s="54"/>
      <c r="E55" s="68"/>
      <c r="F55" s="45"/>
      <c r="G55" s="54"/>
    </row>
    <row r="56" spans="1:7" ht="15">
      <c r="A56" s="54"/>
      <c r="B56" s="54" t="s">
        <v>152</v>
      </c>
      <c r="C56" s="256">
        <v>160</v>
      </c>
      <c r="D56" s="49" t="str">
        <f>VLOOKUP(B56,'[1]Resumen'!$B$7:$D$156,3,0)</f>
        <v>bolsas</v>
      </c>
      <c r="E56" s="270">
        <f>VLOOKUP(B56,'[1]Resumen'!B$7:E$156,4,FALSE)</f>
        <v>180</v>
      </c>
      <c r="F56" s="260">
        <f aca="true" t="shared" si="1" ref="F56:F66">E56*C56</f>
        <v>28800</v>
      </c>
      <c r="G56" s="54"/>
    </row>
    <row r="57" spans="1:7" ht="15">
      <c r="A57" s="54"/>
      <c r="B57" s="54" t="s">
        <v>150</v>
      </c>
      <c r="C57" s="256">
        <v>15</v>
      </c>
      <c r="D57" s="49" t="str">
        <f>VLOOKUP(B57,'[1]Resumen'!$B$7:$D$156,3,0)</f>
        <v>m3</v>
      </c>
      <c r="E57" s="270">
        <f>VLOOKUP(B57,'[1]Resumen'!B$7:E$156,4,FALSE)</f>
        <v>700</v>
      </c>
      <c r="F57" s="260">
        <f t="shared" si="1"/>
        <v>10500</v>
      </c>
      <c r="G57" s="54"/>
    </row>
    <row r="58" spans="1:7" ht="15">
      <c r="A58" s="54"/>
      <c r="B58" s="54" t="s">
        <v>151</v>
      </c>
      <c r="C58" s="256">
        <v>8</v>
      </c>
      <c r="D58" s="49" t="str">
        <f>VLOOKUP(B58,'[1]Resumen'!$B$7:$D$156,3,0)</f>
        <v>m3</v>
      </c>
      <c r="E58" s="270">
        <f>VLOOKUP(B58,'[1]Resumen'!B$7:E$156,4,FALSE)</f>
        <v>850</v>
      </c>
      <c r="F58" s="260">
        <f t="shared" si="1"/>
        <v>6800</v>
      </c>
      <c r="G58" s="54"/>
    </row>
    <row r="59" spans="1:7" ht="15">
      <c r="A59" s="54"/>
      <c r="B59" s="54" t="s">
        <v>149</v>
      </c>
      <c r="C59" s="256">
        <v>3800</v>
      </c>
      <c r="D59" s="49" t="str">
        <f>VLOOKUP(B59,'[1]Resumen'!$B$7:$D$156,3,0)</f>
        <v>Unidad</v>
      </c>
      <c r="E59" s="270">
        <f>VLOOKUP(B59,'[1]Resumen'!B$7:E$156,4,FALSE)</f>
        <v>1.6</v>
      </c>
      <c r="F59" s="260">
        <f t="shared" si="1"/>
        <v>6080</v>
      </c>
      <c r="G59" s="54"/>
    </row>
    <row r="60" spans="1:7" ht="15">
      <c r="A60" s="54"/>
      <c r="B60" s="2" t="s">
        <v>209</v>
      </c>
      <c r="C60" s="256">
        <v>18</v>
      </c>
      <c r="D60" s="49" t="str">
        <f>VLOOKUP(B60,'[1]Resumen'!$B$7:$D$156,3,0)</f>
        <v>qq</v>
      </c>
      <c r="E60" s="270">
        <f>VLOOKUP(B60,'[1]Resumen'!B$7:E$156,4,FALSE)</f>
        <v>1500</v>
      </c>
      <c r="F60" s="260">
        <f t="shared" si="1"/>
        <v>27000</v>
      </c>
      <c r="G60" s="54"/>
    </row>
    <row r="61" spans="1:7" ht="15">
      <c r="A61" s="54"/>
      <c r="B61" s="2" t="s">
        <v>210</v>
      </c>
      <c r="C61" s="256">
        <v>6</v>
      </c>
      <c r="D61" s="49" t="str">
        <f>VLOOKUP(B61,'[1]Resumen'!$B$7:$D$156,3,0)</f>
        <v>qq</v>
      </c>
      <c r="E61" s="270">
        <f>VLOOKUP(B61,'[1]Resumen'!B$7:E$156,4,FALSE)</f>
        <v>1400</v>
      </c>
      <c r="F61" s="260">
        <f t="shared" si="1"/>
        <v>8400</v>
      </c>
      <c r="G61" s="54"/>
    </row>
    <row r="62" spans="1:7" ht="15">
      <c r="A62" s="54"/>
      <c r="B62" s="54" t="s">
        <v>29</v>
      </c>
      <c r="C62" s="256">
        <v>80</v>
      </c>
      <c r="D62" s="49" t="str">
        <f>VLOOKUP(B62,'[1]Resumen'!$B$7:$D$156,3,0)</f>
        <v>lbs</v>
      </c>
      <c r="E62" s="270">
        <f>VLOOKUP(B62,'[1]Resumen'!B$7:E$156,4,FALSE)</f>
        <v>20</v>
      </c>
      <c r="F62" s="260">
        <f t="shared" si="1"/>
        <v>1600</v>
      </c>
      <c r="G62" s="54"/>
    </row>
    <row r="63" spans="1:7" ht="15">
      <c r="A63" s="54"/>
      <c r="B63" s="54" t="s">
        <v>153</v>
      </c>
      <c r="C63" s="256">
        <v>10</v>
      </c>
      <c r="D63" s="49" t="str">
        <f>VLOOKUP(B63,'[1]Resumen'!$B$7:$D$156,3,0)</f>
        <v>lbs</v>
      </c>
      <c r="E63" s="270">
        <f>VLOOKUP(B63,'[1]Resumen'!B$7:E$156,4,FALSE)</f>
        <v>20</v>
      </c>
      <c r="F63" s="260">
        <f t="shared" si="1"/>
        <v>200</v>
      </c>
      <c r="G63" s="54"/>
    </row>
    <row r="64" spans="1:7" ht="15">
      <c r="A64" s="54"/>
      <c r="B64" s="54" t="s">
        <v>10</v>
      </c>
      <c r="C64" s="256">
        <v>2</v>
      </c>
      <c r="D64" s="49" t="str">
        <f>VLOOKUP(B64,'[1]Resumen'!$B$7:$D$156,3,0)</f>
        <v>Unidad</v>
      </c>
      <c r="E64" s="270">
        <f>VLOOKUP(B64,'[1]Resumen'!B$7:E$156,4,FALSE)</f>
        <v>950</v>
      </c>
      <c r="F64" s="260">
        <f t="shared" si="1"/>
        <v>1900</v>
      </c>
      <c r="G64" s="54"/>
    </row>
    <row r="65" spans="1:7" ht="15">
      <c r="A65" s="54"/>
      <c r="B65" s="2" t="s">
        <v>142</v>
      </c>
      <c r="C65" s="256">
        <v>50</v>
      </c>
      <c r="D65" s="49" t="str">
        <f>VLOOKUP(B65,'[1]Resumen'!$B$7:$D$156,3,0)</f>
        <v>Yarda</v>
      </c>
      <c r="E65" s="270">
        <f>VLOOKUP(B65,'[1]Resumen'!B$7:E$156,4,FALSE)</f>
        <v>30</v>
      </c>
      <c r="F65" s="260">
        <f t="shared" si="1"/>
        <v>1500</v>
      </c>
      <c r="G65" s="54"/>
    </row>
    <row r="66" spans="1:7" ht="15">
      <c r="A66" s="54"/>
      <c r="B66" s="2" t="s">
        <v>140</v>
      </c>
      <c r="C66" s="256">
        <v>2</v>
      </c>
      <c r="D66" s="49" t="str">
        <f>VLOOKUP(B66,'[1]Resumen'!$B$7:$D$156,3,0)</f>
        <v>Gln</v>
      </c>
      <c r="E66" s="270">
        <f>VLOOKUP(B66,'[1]Resumen'!B$7:E$156,4,FALSE)</f>
        <v>300</v>
      </c>
      <c r="F66" s="260">
        <f t="shared" si="1"/>
        <v>600</v>
      </c>
      <c r="G66" s="54"/>
    </row>
    <row r="67" spans="1:7" ht="15.75">
      <c r="A67" s="255"/>
      <c r="B67" s="255"/>
      <c r="C67" s="272"/>
      <c r="D67" s="255"/>
      <c r="E67" s="182" t="s">
        <v>263</v>
      </c>
      <c r="F67" s="414">
        <f>SUM(F56:F66)</f>
        <v>93380</v>
      </c>
      <c r="G67" s="54" t="s">
        <v>13</v>
      </c>
    </row>
    <row r="68" spans="1:6" ht="15.75">
      <c r="A68" s="266" t="s">
        <v>249</v>
      </c>
      <c r="B68" s="54"/>
      <c r="C68" s="55">
        <v>22506</v>
      </c>
      <c r="D68" s="44" t="s">
        <v>256</v>
      </c>
      <c r="E68" s="60"/>
      <c r="F68" s="48"/>
    </row>
    <row r="69" spans="1:6" ht="15">
      <c r="A69" s="2" t="s">
        <v>20</v>
      </c>
      <c r="B69" s="2"/>
      <c r="C69" s="52"/>
      <c r="D69" s="2"/>
      <c r="E69" s="60"/>
      <c r="F69" s="48"/>
    </row>
    <row r="70" spans="1:6" ht="15">
      <c r="A70" s="2"/>
      <c r="B70" s="2" t="s">
        <v>207</v>
      </c>
      <c r="C70" s="256">
        <v>58</v>
      </c>
      <c r="D70" s="49" t="str">
        <f>VLOOKUP(B70,'[1]Resumen'!$B$7:$D$156,3,0)</f>
        <v>Unidad</v>
      </c>
      <c r="E70" s="264">
        <f>VLOOKUP(B70,'[1]Resumen'!B$7:E$156,4,FALSE)</f>
        <v>615</v>
      </c>
      <c r="F70" s="260">
        <f aca="true" t="shared" si="2" ref="F70:F82">E70*C70</f>
        <v>35670</v>
      </c>
    </row>
    <row r="71" spans="1:6" ht="15">
      <c r="A71" s="2"/>
      <c r="B71" s="2" t="s">
        <v>112</v>
      </c>
      <c r="C71" s="256">
        <v>31</v>
      </c>
      <c r="D71" s="49" t="str">
        <f>VLOOKUP(B71,'[1]Resumen'!$B$7:$D$156,3,0)</f>
        <v>Unidad</v>
      </c>
      <c r="E71" s="264">
        <f>VLOOKUP(B71,'[1]Resumen'!B$7:E$156,4,FALSE)</f>
        <v>374</v>
      </c>
      <c r="F71" s="260">
        <f t="shared" si="2"/>
        <v>11594</v>
      </c>
    </row>
    <row r="72" spans="1:6" ht="15">
      <c r="A72" s="2"/>
      <c r="B72" s="2" t="s">
        <v>175</v>
      </c>
      <c r="C72" s="256">
        <v>194</v>
      </c>
      <c r="D72" s="49" t="str">
        <f>VLOOKUP(B72,'[1]Resumen'!$B$7:$D$156,3,0)</f>
        <v>Unidad</v>
      </c>
      <c r="E72" s="264">
        <f>VLOOKUP(B72,'[1]Resumen'!B$7:E$156,4,FALSE)</f>
        <v>251</v>
      </c>
      <c r="F72" s="260">
        <f t="shared" si="2"/>
        <v>48694</v>
      </c>
    </row>
    <row r="73" spans="1:6" ht="15">
      <c r="A73" s="2"/>
      <c r="B73" s="2" t="s">
        <v>137</v>
      </c>
      <c r="C73" s="256">
        <v>446</v>
      </c>
      <c r="D73" s="49" t="str">
        <f>VLOOKUP(B73,'[1]Resumen'!$B$7:$D$156,3,0)</f>
        <v>Unidad</v>
      </c>
      <c r="E73" s="264">
        <f>VLOOKUP(B73,'[1]Resumen'!B$7:E$156,4,FALSE)</f>
        <v>306</v>
      </c>
      <c r="F73" s="260">
        <f t="shared" si="2"/>
        <v>136476</v>
      </c>
    </row>
    <row r="74" spans="1:6" ht="15">
      <c r="A74" s="2"/>
      <c r="B74" s="2" t="s">
        <v>174</v>
      </c>
      <c r="C74" s="256">
        <v>43</v>
      </c>
      <c r="D74" s="49" t="str">
        <f>VLOOKUP(B74,'[1]Resumen'!$B$7:$D$156,3,0)</f>
        <v>Unidad</v>
      </c>
      <c r="E74" s="264">
        <f>VLOOKUP(B74,'[1]Resumen'!B$7:E$156,4,FALSE)</f>
        <v>458.88</v>
      </c>
      <c r="F74" s="260">
        <f t="shared" si="2"/>
        <v>19731.84</v>
      </c>
    </row>
    <row r="75" spans="1:6" ht="15">
      <c r="A75" s="2"/>
      <c r="B75" s="2" t="s">
        <v>176</v>
      </c>
      <c r="C75" s="256">
        <v>73</v>
      </c>
      <c r="D75" s="49" t="str">
        <f>VLOOKUP(B75,'[1]Resumen'!$B$7:$D$156,3,0)</f>
        <v>Unidad</v>
      </c>
      <c r="E75" s="264">
        <f>VLOOKUP(B75,'[1]Resumen'!B$7:E$156,4,FALSE)</f>
        <v>171</v>
      </c>
      <c r="F75" s="260">
        <f t="shared" si="2"/>
        <v>12483</v>
      </c>
    </row>
    <row r="76" spans="1:6" ht="15">
      <c r="A76" s="2"/>
      <c r="B76" s="2" t="s">
        <v>122</v>
      </c>
      <c r="C76" s="256">
        <v>92</v>
      </c>
      <c r="D76" s="49" t="str">
        <f>VLOOKUP(B76,'[1]Resumen'!$B$7:$D$156,3,0)</f>
        <v>Unidad</v>
      </c>
      <c r="E76" s="264">
        <f>VLOOKUP(B76,'[1]Resumen'!B$7:E$156,4,FALSE)</f>
        <v>209</v>
      </c>
      <c r="F76" s="260">
        <f t="shared" si="2"/>
        <v>19228</v>
      </c>
    </row>
    <row r="77" spans="1:6" ht="15">
      <c r="A77" s="2"/>
      <c r="B77" s="2" t="s">
        <v>123</v>
      </c>
      <c r="C77" s="256">
        <v>64</v>
      </c>
      <c r="D77" s="49" t="str">
        <f>VLOOKUP(B77,'[1]Resumen'!$B$7:$D$156,3,0)</f>
        <v>Unidad</v>
      </c>
      <c r="E77" s="264">
        <f>VLOOKUP(B77,'[1]Resumen'!B$7:E$156,4,FALSE)</f>
        <v>315</v>
      </c>
      <c r="F77" s="260">
        <f t="shared" si="2"/>
        <v>20160</v>
      </c>
    </row>
    <row r="78" spans="1:6" ht="15">
      <c r="A78" s="2"/>
      <c r="B78" s="2" t="s">
        <v>121</v>
      </c>
      <c r="C78" s="256">
        <v>395</v>
      </c>
      <c r="D78" s="49" t="str">
        <f>VLOOKUP(B78,'[1]Resumen'!$B$7:$D$156,3,0)</f>
        <v>Unidad</v>
      </c>
      <c r="E78" s="264">
        <f>VLOOKUP(B78,'[1]Resumen'!B$7:E$156,4,FALSE)</f>
        <v>112</v>
      </c>
      <c r="F78" s="260">
        <f t="shared" si="2"/>
        <v>44240</v>
      </c>
    </row>
    <row r="79" spans="1:6" ht="15">
      <c r="A79" s="2"/>
      <c r="B79" s="2" t="s">
        <v>120</v>
      </c>
      <c r="C79" s="256">
        <v>211</v>
      </c>
      <c r="D79" s="49" t="str">
        <f>VLOOKUP(B79,'[1]Resumen'!$B$7:$D$156,3,0)</f>
        <v>Unidad</v>
      </c>
      <c r="E79" s="264">
        <f>VLOOKUP(B79,'[1]Resumen'!B$7:E$156,4,FALSE)</f>
        <v>102.89</v>
      </c>
      <c r="F79" s="260">
        <f t="shared" si="2"/>
        <v>21709.79</v>
      </c>
    </row>
    <row r="80" spans="1:6" ht="15">
      <c r="A80" s="2"/>
      <c r="B80" s="2" t="s">
        <v>34</v>
      </c>
      <c r="C80" s="256">
        <v>580</v>
      </c>
      <c r="D80" s="49" t="str">
        <f>VLOOKUP(B80,'[1]Resumen'!$B$7:$D$156,3,0)</f>
        <v>Unidad</v>
      </c>
      <c r="E80" s="264">
        <f>VLOOKUP(B80,'[1]Resumen'!B$7:E$156,4,FALSE)</f>
        <v>75.38</v>
      </c>
      <c r="F80" s="260">
        <f t="shared" si="2"/>
        <v>43720.399999999994</v>
      </c>
    </row>
    <row r="81" spans="1:6" ht="15">
      <c r="A81" s="2"/>
      <c r="B81" s="2" t="s">
        <v>35</v>
      </c>
      <c r="C81" s="256">
        <v>361</v>
      </c>
      <c r="D81" s="49" t="str">
        <f>VLOOKUP(B81,'[1]Resumen'!$B$7:$D$156,3,0)</f>
        <v>Unidad</v>
      </c>
      <c r="E81" s="264">
        <f>VLOOKUP(B81,'[1]Resumen'!B$7:E$156,4,FALSE)</f>
        <v>61.62</v>
      </c>
      <c r="F81" s="260">
        <f t="shared" si="2"/>
        <v>22244.82</v>
      </c>
    </row>
    <row r="82" spans="1:6" ht="15">
      <c r="A82" s="2"/>
      <c r="B82" s="2" t="s">
        <v>36</v>
      </c>
      <c r="C82" s="256">
        <v>1863</v>
      </c>
      <c r="D82" s="49" t="str">
        <f>VLOOKUP(B82,'[1]Resumen'!$B$7:$D$156,3,0)</f>
        <v>Unidad</v>
      </c>
      <c r="E82" s="264">
        <f>VLOOKUP(B82,'[1]Resumen'!B$7:E$156,4,FALSE)</f>
        <v>47.86</v>
      </c>
      <c r="F82" s="260">
        <f t="shared" si="2"/>
        <v>89163.18</v>
      </c>
    </row>
    <row r="83" spans="1:7" ht="15.75">
      <c r="A83" s="2"/>
      <c r="B83" s="2"/>
      <c r="C83" s="256"/>
      <c r="D83" s="2"/>
      <c r="E83" s="66" t="s">
        <v>12</v>
      </c>
      <c r="F83" s="273">
        <f>SUM(F70:F82)</f>
        <v>525115.0299999999</v>
      </c>
      <c r="G83" s="57" t="s">
        <v>20</v>
      </c>
    </row>
    <row r="84" spans="1:6" ht="15">
      <c r="A84" s="2" t="s">
        <v>22</v>
      </c>
      <c r="B84" s="2"/>
      <c r="C84" s="268"/>
      <c r="D84" s="2"/>
      <c r="E84" s="60"/>
      <c r="F84" s="48"/>
    </row>
    <row r="85" spans="1:6" ht="15">
      <c r="A85" s="2"/>
      <c r="B85" s="2" t="s">
        <v>246</v>
      </c>
      <c r="C85" s="256">
        <v>2</v>
      </c>
      <c r="D85" s="49" t="str">
        <f>VLOOKUP(B85,'[1]Resumen'!$B$7:$D$156,3,0)</f>
        <v>Unidad</v>
      </c>
      <c r="E85" s="264">
        <f>VLOOKUP(B85,'[1]Resumen'!B$7:E$156,4,FALSE)</f>
        <v>61</v>
      </c>
      <c r="F85" s="260">
        <f aca="true" t="shared" si="3" ref="F85:F110">E85*C85</f>
        <v>122</v>
      </c>
    </row>
    <row r="86" spans="1:6" ht="15">
      <c r="A86" s="2"/>
      <c r="B86" s="2" t="s">
        <v>247</v>
      </c>
      <c r="C86" s="256">
        <v>2</v>
      </c>
      <c r="D86" s="49" t="str">
        <f>VLOOKUP(B86,'[1]Resumen'!$B$7:$D$156,3,0)</f>
        <v>Unidad</v>
      </c>
      <c r="E86" s="264">
        <f>VLOOKUP(B86,'[1]Resumen'!B$7:E$156,4,FALSE)</f>
        <v>61</v>
      </c>
      <c r="F86" s="260">
        <f t="shared" si="3"/>
        <v>122</v>
      </c>
    </row>
    <row r="87" spans="1:6" ht="15">
      <c r="A87" s="2"/>
      <c r="B87" s="2" t="s">
        <v>248</v>
      </c>
      <c r="C87" s="256">
        <v>9</v>
      </c>
      <c r="D87" s="49" t="str">
        <f>VLOOKUP(B87,'[1]Resumen'!$B$7:$D$156,3,0)</f>
        <v>Unidad</v>
      </c>
      <c r="E87" s="264">
        <f>VLOOKUP(B87,'[1]Resumen'!B$7:E$156,4,FALSE)</f>
        <v>32</v>
      </c>
      <c r="F87" s="260">
        <f t="shared" si="3"/>
        <v>288</v>
      </c>
    </row>
    <row r="88" spans="1:6" ht="15">
      <c r="A88" s="2"/>
      <c r="B88" s="2" t="s">
        <v>117</v>
      </c>
      <c r="C88" s="256">
        <v>72</v>
      </c>
      <c r="D88" s="49" t="str">
        <f>VLOOKUP(B88,'[1]Resumen'!$B$7:$D$156,3,0)</f>
        <v>Unidad</v>
      </c>
      <c r="E88" s="264">
        <f>VLOOKUP(B88,'[1]Resumen'!B$7:E$156,4,FALSE)</f>
        <v>11.02</v>
      </c>
      <c r="F88" s="260">
        <f t="shared" si="3"/>
        <v>793.4399999999999</v>
      </c>
    </row>
    <row r="89" spans="1:6" ht="15">
      <c r="A89" s="2"/>
      <c r="B89" s="2" t="s">
        <v>101</v>
      </c>
      <c r="C89" s="256">
        <v>54</v>
      </c>
      <c r="D89" s="49" t="str">
        <f>VLOOKUP(B89,'[1]Resumen'!$B$7:$D$156,3,0)</f>
        <v>Unidad</v>
      </c>
      <c r="E89" s="264">
        <f>VLOOKUP(B89,'[1]Resumen'!B$7:E$156,4,FALSE)</f>
        <v>15.48</v>
      </c>
      <c r="F89" s="260">
        <f t="shared" si="3"/>
        <v>835.9200000000001</v>
      </c>
    </row>
    <row r="90" spans="1:6" ht="15">
      <c r="A90" s="2"/>
      <c r="B90" s="2" t="s">
        <v>102</v>
      </c>
      <c r="C90" s="256">
        <v>4</v>
      </c>
      <c r="D90" s="49" t="str">
        <f>VLOOKUP(B90,'[1]Resumen'!$B$7:$D$156,3,0)</f>
        <v>Unidad</v>
      </c>
      <c r="E90" s="264">
        <f>VLOOKUP(B90,'[1]Resumen'!B$7:E$156,4,FALSE)</f>
        <v>13.09</v>
      </c>
      <c r="F90" s="260">
        <f t="shared" si="3"/>
        <v>52.36</v>
      </c>
    </row>
    <row r="91" spans="1:6" ht="15">
      <c r="A91" s="2"/>
      <c r="B91" s="58" t="s">
        <v>126</v>
      </c>
      <c r="C91" s="256">
        <v>1</v>
      </c>
      <c r="D91" s="49" t="str">
        <f>VLOOKUP(B91,'[1]Resumen'!$B$7:$D$156,3,0)</f>
        <v>Unidad</v>
      </c>
      <c r="E91" s="264">
        <f>VLOOKUP(B91,'[1]Resumen'!B$7:E$156,4,FALSE)</f>
        <v>11.8</v>
      </c>
      <c r="F91" s="260">
        <f t="shared" si="3"/>
        <v>11.8</v>
      </c>
    </row>
    <row r="92" spans="1:6" ht="15">
      <c r="A92" s="2"/>
      <c r="B92" s="58" t="s">
        <v>127</v>
      </c>
      <c r="C92" s="256">
        <v>2</v>
      </c>
      <c r="D92" s="49" t="str">
        <f>VLOOKUP(B92,'[1]Resumen'!$B$7:$D$156,3,0)</f>
        <v>Unidad</v>
      </c>
      <c r="E92" s="264">
        <f>VLOOKUP(B92,'[1]Resumen'!B$7:E$156,4,FALSE)</f>
        <v>12</v>
      </c>
      <c r="F92" s="260">
        <f t="shared" si="3"/>
        <v>24</v>
      </c>
    </row>
    <row r="93" spans="1:7" ht="15">
      <c r="A93" s="2"/>
      <c r="B93" s="59" t="s">
        <v>83</v>
      </c>
      <c r="C93" s="256">
        <v>1</v>
      </c>
      <c r="D93" s="49" t="str">
        <f>VLOOKUP(B93,'[1]Resumen'!$B$7:$D$156,3,0)</f>
        <v>Unidad</v>
      </c>
      <c r="E93" s="264">
        <f>VLOOKUP(B93,'[1]Resumen'!B$7:E$156,4,FALSE)</f>
        <v>8</v>
      </c>
      <c r="F93" s="260">
        <f t="shared" si="3"/>
        <v>8</v>
      </c>
      <c r="G93" s="54"/>
    </row>
    <row r="94" spans="1:7" ht="15">
      <c r="A94" s="2"/>
      <c r="B94" s="58" t="s">
        <v>84</v>
      </c>
      <c r="C94" s="256">
        <v>2</v>
      </c>
      <c r="D94" s="49" t="str">
        <f>VLOOKUP(B94,'[1]Resumen'!$B$7:$D$156,3,0)</f>
        <v>Unidad</v>
      </c>
      <c r="E94" s="264">
        <f>VLOOKUP(B94,'[1]Resumen'!B$7:E$156,4,FALSE)</f>
        <v>8</v>
      </c>
      <c r="F94" s="260">
        <f t="shared" si="3"/>
        <v>16</v>
      </c>
      <c r="G94" s="54"/>
    </row>
    <row r="95" spans="1:7" ht="15">
      <c r="A95" s="2"/>
      <c r="B95" s="58" t="s">
        <v>85</v>
      </c>
      <c r="C95" s="256">
        <v>1</v>
      </c>
      <c r="D95" s="49" t="str">
        <f>VLOOKUP(B95,'[1]Resumen'!$B$7:$D$156,3,0)</f>
        <v>Unidad</v>
      </c>
      <c r="E95" s="264">
        <f>VLOOKUP(B95,'[1]Resumen'!B$7:E$156,4,FALSE)</f>
        <v>6.96</v>
      </c>
      <c r="F95" s="260">
        <f t="shared" si="3"/>
        <v>6.96</v>
      </c>
      <c r="G95" s="54"/>
    </row>
    <row r="96" spans="1:7" ht="15">
      <c r="A96" s="2"/>
      <c r="B96" s="58" t="s">
        <v>25</v>
      </c>
      <c r="C96" s="256">
        <v>40</v>
      </c>
      <c r="D96" s="49" t="str">
        <f>VLOOKUP(B96,'[1]Resumen'!$B$7:$D$156,3,0)</f>
        <v>Unidad</v>
      </c>
      <c r="E96" s="264">
        <f>VLOOKUP(B96,'[1]Resumen'!B$7:E$156,4,FALSE)</f>
        <v>7</v>
      </c>
      <c r="F96" s="260">
        <f t="shared" si="3"/>
        <v>280</v>
      </c>
      <c r="G96" s="54"/>
    </row>
    <row r="97" spans="1:7" ht="15">
      <c r="A97" s="2"/>
      <c r="B97" s="59" t="s">
        <v>98</v>
      </c>
      <c r="C97" s="256">
        <v>1</v>
      </c>
      <c r="D97" s="49" t="str">
        <f>VLOOKUP(B97,'[1]Resumen'!$B$7:$D$156,3,0)</f>
        <v>Unidad</v>
      </c>
      <c r="E97" s="264">
        <f>VLOOKUP(B97,'[1]Resumen'!B$7:E$156,4,FALSE)</f>
        <v>5.82</v>
      </c>
      <c r="F97" s="260">
        <f t="shared" si="3"/>
        <v>5.82</v>
      </c>
      <c r="G97" s="54"/>
    </row>
    <row r="98" spans="1:7" ht="15">
      <c r="A98" s="2"/>
      <c r="B98" s="59" t="s">
        <v>97</v>
      </c>
      <c r="C98" s="256">
        <v>5</v>
      </c>
      <c r="D98" s="49" t="str">
        <f>VLOOKUP(B98,'[1]Resumen'!$B$7:$D$156,3,0)</f>
        <v>Unidad</v>
      </c>
      <c r="E98" s="264">
        <f>VLOOKUP(B98,'[1]Resumen'!B$7:E$156,4,FALSE)</f>
        <v>5</v>
      </c>
      <c r="F98" s="260">
        <f t="shared" si="3"/>
        <v>25</v>
      </c>
      <c r="G98" s="54"/>
    </row>
    <row r="99" spans="1:7" ht="15">
      <c r="A99" s="2"/>
      <c r="B99" s="58" t="s">
        <v>118</v>
      </c>
      <c r="C99" s="256">
        <v>14</v>
      </c>
      <c r="D99" s="49" t="str">
        <f>VLOOKUP(B99,'[1]Resumen'!$B$7:$D$156,3,0)</f>
        <v>Unidad</v>
      </c>
      <c r="E99" s="264">
        <f>VLOOKUP(B99,'[1]Resumen'!B$7:E$156,4,FALSE)</f>
        <v>3.86</v>
      </c>
      <c r="F99" s="260">
        <f t="shared" si="3"/>
        <v>54.04</v>
      </c>
      <c r="G99" s="54"/>
    </row>
    <row r="100" spans="1:7" ht="15">
      <c r="A100" s="2"/>
      <c r="B100" s="59" t="s">
        <v>37</v>
      </c>
      <c r="C100" s="256">
        <v>4</v>
      </c>
      <c r="D100" s="49" t="str">
        <f>VLOOKUP(B100,'[1]Resumen'!$B$7:$D$156,3,0)</f>
        <v>Unidad</v>
      </c>
      <c r="E100" s="264">
        <f>VLOOKUP(B100,'[1]Resumen'!B$7:E$156,4,FALSE)</f>
        <v>3.86</v>
      </c>
      <c r="F100" s="260">
        <f t="shared" si="3"/>
        <v>15.44</v>
      </c>
      <c r="G100" s="54"/>
    </row>
    <row r="101" spans="1:7" ht="15">
      <c r="A101" s="2"/>
      <c r="B101" s="54" t="s">
        <v>88</v>
      </c>
      <c r="C101" s="256">
        <v>20</v>
      </c>
      <c r="D101" s="49" t="str">
        <f>VLOOKUP(B101,'[1]Resumen'!$B$7:$D$156,3,0)</f>
        <v>Unidad</v>
      </c>
      <c r="E101" s="264">
        <f>VLOOKUP(B101,'[1]Resumen'!B$7:E$156,4,FALSE)</f>
        <v>2.63</v>
      </c>
      <c r="F101" s="260">
        <f t="shared" si="3"/>
        <v>52.599999999999994</v>
      </c>
      <c r="G101" s="54"/>
    </row>
    <row r="102" spans="1:7" ht="15">
      <c r="A102" s="2"/>
      <c r="B102" s="58" t="s">
        <v>245</v>
      </c>
      <c r="C102" s="256">
        <v>1</v>
      </c>
      <c r="D102" s="49" t="str">
        <f>VLOOKUP(B102,'[1]Resumen'!$B$7:$D$156,3,0)</f>
        <v>Unidad</v>
      </c>
      <c r="E102" s="264">
        <f>VLOOKUP(B102,'[1]Resumen'!B$7:E$156,4,FALSE)</f>
        <v>167.54</v>
      </c>
      <c r="F102" s="260">
        <f t="shared" si="3"/>
        <v>167.54</v>
      </c>
      <c r="G102" s="54"/>
    </row>
    <row r="103" spans="1:7" ht="15">
      <c r="A103" s="2"/>
      <c r="B103" s="58" t="s">
        <v>244</v>
      </c>
      <c r="C103" s="256">
        <v>7</v>
      </c>
      <c r="D103" s="49" t="str">
        <f>VLOOKUP(B103,'[1]Resumen'!$B$7:$D$156,3,0)</f>
        <v>Unidad</v>
      </c>
      <c r="E103" s="264">
        <f>VLOOKUP(B103,'[1]Resumen'!B$7:E$156,4,FALSE)</f>
        <v>89.98</v>
      </c>
      <c r="F103" s="260">
        <f t="shared" si="3"/>
        <v>629.86</v>
      </c>
      <c r="G103" s="54"/>
    </row>
    <row r="104" spans="1:7" ht="15">
      <c r="A104" s="2"/>
      <c r="B104" s="58" t="s">
        <v>103</v>
      </c>
      <c r="C104" s="256">
        <v>51</v>
      </c>
      <c r="D104" s="49" t="str">
        <f>VLOOKUP(B104,'[1]Resumen'!$B$7:$D$156,3,0)</f>
        <v>Unidad</v>
      </c>
      <c r="E104" s="264">
        <f>VLOOKUP(B104,'[1]Resumen'!B$7:E$156,4,FALSE)</f>
        <v>61</v>
      </c>
      <c r="F104" s="260">
        <f t="shared" si="3"/>
        <v>3111</v>
      </c>
      <c r="G104" s="54"/>
    </row>
    <row r="105" spans="1:7" ht="15">
      <c r="A105" s="2"/>
      <c r="B105" s="58" t="s">
        <v>104</v>
      </c>
      <c r="C105" s="256">
        <v>16</v>
      </c>
      <c r="D105" s="49" t="str">
        <f>VLOOKUP(B105,'[1]Resumen'!$B$7:$D$156,3,0)</f>
        <v>Unidad</v>
      </c>
      <c r="E105" s="264">
        <f>VLOOKUP(B105,'[1]Resumen'!B$7:E$156,4,FALSE)</f>
        <v>24</v>
      </c>
      <c r="F105" s="260">
        <f t="shared" si="3"/>
        <v>384</v>
      </c>
      <c r="G105" s="54"/>
    </row>
    <row r="106" spans="1:7" ht="15">
      <c r="A106" s="2"/>
      <c r="B106" s="59" t="s">
        <v>26</v>
      </c>
      <c r="C106" s="256">
        <v>37</v>
      </c>
      <c r="D106" s="49" t="str">
        <f>VLOOKUP(B106,'[1]Resumen'!$B$7:$D$156,3,0)</f>
        <v>Unidad</v>
      </c>
      <c r="E106" s="264">
        <f>VLOOKUP(B106,'[1]Resumen'!B$7:E$156,4,FALSE)</f>
        <v>16</v>
      </c>
      <c r="F106" s="260">
        <f t="shared" si="3"/>
        <v>592</v>
      </c>
      <c r="G106" s="54"/>
    </row>
    <row r="107" spans="1:7" ht="15">
      <c r="A107" s="2"/>
      <c r="B107" s="59" t="s">
        <v>38</v>
      </c>
      <c r="C107" s="256">
        <v>5</v>
      </c>
      <c r="D107" s="49" t="str">
        <f>VLOOKUP(B107,'[1]Resumen'!$B$7:$D$156,3,0)</f>
        <v>Unidad</v>
      </c>
      <c r="E107" s="264">
        <f>VLOOKUP(B107,'[1]Resumen'!B$7:E$156,4,FALSE)</f>
        <v>12.6</v>
      </c>
      <c r="F107" s="260">
        <f t="shared" si="3"/>
        <v>63</v>
      </c>
      <c r="G107" s="54"/>
    </row>
    <row r="108" spans="1:6" ht="15">
      <c r="A108" s="2"/>
      <c r="B108" s="58" t="s">
        <v>39</v>
      </c>
      <c r="C108" s="256">
        <v>14</v>
      </c>
      <c r="D108" s="49" t="str">
        <f>VLOOKUP(B108,'[1]Resumen'!$B$7:$D$156,3,0)</f>
        <v>Unidad</v>
      </c>
      <c r="E108" s="264">
        <f>VLOOKUP(B108,'[1]Resumen'!B$7:E$156,4,FALSE)</f>
        <v>9</v>
      </c>
      <c r="F108" s="260">
        <f t="shared" si="3"/>
        <v>126</v>
      </c>
    </row>
    <row r="109" spans="1:7" ht="15">
      <c r="A109" s="2"/>
      <c r="B109" s="58" t="s">
        <v>40</v>
      </c>
      <c r="C109" s="256">
        <v>17</v>
      </c>
      <c r="D109" s="49" t="str">
        <f>VLOOKUP(B109,'[1]Resumen'!$B$7:$D$156,3,0)</f>
        <v>Unidad</v>
      </c>
      <c r="E109" s="264">
        <f>VLOOKUP(B109,'[1]Resumen'!B$7:E$156,4,FALSE)</f>
        <v>4.7</v>
      </c>
      <c r="F109" s="260">
        <f t="shared" si="3"/>
        <v>79.9</v>
      </c>
      <c r="G109" s="57"/>
    </row>
    <row r="110" spans="1:6" ht="15">
      <c r="A110" s="2"/>
      <c r="B110" s="58" t="s">
        <v>41</v>
      </c>
      <c r="C110" s="256">
        <v>24</v>
      </c>
      <c r="D110" s="49" t="str">
        <f>VLOOKUP(B110,'[1]Resumen'!$B$7:$D$156,3,0)</f>
        <v>Unidad</v>
      </c>
      <c r="E110" s="264">
        <f>VLOOKUP(B110,'[1]Resumen'!B$7:E$156,4,FALSE)</f>
        <v>4</v>
      </c>
      <c r="F110" s="260">
        <f t="shared" si="3"/>
        <v>96</v>
      </c>
    </row>
    <row r="111" spans="1:7" ht="15.75">
      <c r="A111" s="2"/>
      <c r="B111" s="2" t="s">
        <v>8</v>
      </c>
      <c r="C111" s="269"/>
      <c r="D111" s="274"/>
      <c r="E111" s="275"/>
      <c r="F111" s="271">
        <f>SUM(F85:F110)</f>
        <v>7962.68</v>
      </c>
      <c r="G111" s="2" t="s">
        <v>22</v>
      </c>
    </row>
    <row r="112" spans="1:7" ht="15.75">
      <c r="A112" s="259"/>
      <c r="B112" s="259"/>
      <c r="C112" s="276"/>
      <c r="D112" s="277"/>
      <c r="E112" s="278"/>
      <c r="F112" s="359">
        <f>SUM(F111+F83)</f>
        <v>533077.71</v>
      </c>
      <c r="G112" s="48"/>
    </row>
    <row r="113" spans="1:8" s="73" customFormat="1" ht="15.75">
      <c r="A113" s="54"/>
      <c r="B113" s="54"/>
      <c r="C113" s="268"/>
      <c r="D113" s="54"/>
      <c r="E113" s="183" t="s">
        <v>5</v>
      </c>
      <c r="F113" s="359">
        <f>F24+F34+F46+F53+F67+F112</f>
        <v>1121687.2</v>
      </c>
      <c r="G113" s="280">
        <f>SUM(F113/20.2366)</f>
        <v>55428.6391982843</v>
      </c>
      <c r="H113" s="78"/>
    </row>
    <row r="114" spans="1:5" ht="15.75">
      <c r="A114" s="2"/>
      <c r="B114" s="603" t="s">
        <v>350</v>
      </c>
      <c r="C114" s="603"/>
      <c r="D114" s="603"/>
      <c r="E114" s="270">
        <f>F67</f>
        <v>93380</v>
      </c>
    </row>
    <row r="115" spans="1:6" ht="15.75">
      <c r="A115" s="2"/>
      <c r="B115" s="603" t="s">
        <v>351</v>
      </c>
      <c r="C115" s="603"/>
      <c r="D115" s="603"/>
      <c r="E115" s="270">
        <f>F19+F23+F29+F33+F41+F45+F49+F52+F83+F111</f>
        <v>1028307.2</v>
      </c>
      <c r="F115" s="48"/>
    </row>
    <row r="116" spans="1:6" ht="15.75">
      <c r="A116" s="2"/>
      <c r="B116" s="60"/>
      <c r="C116" s="251"/>
      <c r="D116" s="238"/>
      <c r="E116" s="359">
        <f>SUM(E114:E115)</f>
        <v>1121687.2</v>
      </c>
      <c r="F116" s="48"/>
    </row>
    <row r="117" spans="1:6" ht="15">
      <c r="A117" s="2"/>
      <c r="B117" s="2"/>
      <c r="C117" s="52"/>
      <c r="D117" s="2"/>
      <c r="E117" s="60"/>
      <c r="F117" s="48"/>
    </row>
    <row r="118" spans="1:6" ht="15">
      <c r="A118" s="2"/>
      <c r="B118" s="2"/>
      <c r="C118" s="52"/>
      <c r="D118" s="2"/>
      <c r="E118" s="60"/>
      <c r="F118" s="48"/>
    </row>
    <row r="119" spans="1:6" ht="15">
      <c r="A119" s="2"/>
      <c r="B119" s="2"/>
      <c r="C119" s="52"/>
      <c r="D119" s="2"/>
      <c r="E119" s="60"/>
      <c r="F119" s="48"/>
    </row>
    <row r="120" spans="1:6" ht="15">
      <c r="A120" s="2"/>
      <c r="B120" s="2"/>
      <c r="C120" s="52"/>
      <c r="D120" s="2"/>
      <c r="E120" s="60"/>
      <c r="F120" s="48"/>
    </row>
    <row r="121" spans="1:6" ht="15">
      <c r="A121" s="2"/>
      <c r="B121" s="2"/>
      <c r="C121" s="52"/>
      <c r="D121" s="2"/>
      <c r="E121" s="60"/>
      <c r="F121" s="48"/>
    </row>
    <row r="122" spans="1:6" ht="15">
      <c r="A122" s="2"/>
      <c r="B122" s="2"/>
      <c r="C122" s="52"/>
      <c r="D122" s="2"/>
      <c r="E122" s="60"/>
      <c r="F122" s="48"/>
    </row>
    <row r="123" spans="1:6" ht="15">
      <c r="A123" s="2"/>
      <c r="B123" s="2"/>
      <c r="C123" s="52"/>
      <c r="D123" s="2"/>
      <c r="E123" s="60"/>
      <c r="F123" s="48"/>
    </row>
    <row r="124" spans="1:6" ht="15">
      <c r="A124" s="2"/>
      <c r="B124" s="2"/>
      <c r="C124" s="52"/>
      <c r="D124" s="2"/>
      <c r="E124" s="60"/>
      <c r="F124" s="48"/>
    </row>
    <row r="125" spans="1:6" ht="15">
      <c r="A125" s="2"/>
      <c r="B125" s="2"/>
      <c r="C125" s="52"/>
      <c r="D125" s="2"/>
      <c r="E125" s="60"/>
      <c r="F125" s="48"/>
    </row>
    <row r="126" spans="1:6" ht="15">
      <c r="A126" s="2"/>
      <c r="B126" s="2"/>
      <c r="C126" s="52"/>
      <c r="D126" s="2"/>
      <c r="E126" s="60"/>
      <c r="F126" s="48"/>
    </row>
    <row r="127" spans="1:6" ht="15">
      <c r="A127" s="2"/>
      <c r="B127" s="2"/>
      <c r="C127" s="52"/>
      <c r="D127" s="2"/>
      <c r="E127" s="60"/>
      <c r="F127" s="48"/>
    </row>
    <row r="128" spans="1:6" ht="15">
      <c r="A128" s="2"/>
      <c r="B128" s="2"/>
      <c r="C128" s="52"/>
      <c r="D128" s="2"/>
      <c r="E128" s="60"/>
      <c r="F128" s="48"/>
    </row>
    <row r="129" spans="1:6" ht="15">
      <c r="A129" s="2"/>
      <c r="B129" s="2"/>
      <c r="C129" s="52"/>
      <c r="D129" s="2"/>
      <c r="E129" s="60"/>
      <c r="F129" s="48"/>
    </row>
    <row r="130" spans="1:6" ht="15">
      <c r="A130" s="2"/>
      <c r="B130" s="2"/>
      <c r="C130" s="52"/>
      <c r="D130" s="2"/>
      <c r="E130" s="60"/>
      <c r="F130" s="48"/>
    </row>
    <row r="131" spans="1:6" ht="15">
      <c r="A131" s="2"/>
      <c r="B131" s="2"/>
      <c r="C131" s="52"/>
      <c r="D131" s="2"/>
      <c r="E131" s="60"/>
      <c r="F131" s="48"/>
    </row>
    <row r="132" spans="1:6" ht="15">
      <c r="A132" s="2"/>
      <c r="B132" s="2"/>
      <c r="C132" s="52"/>
      <c r="D132" s="2"/>
      <c r="E132" s="60"/>
      <c r="F132" s="48"/>
    </row>
    <row r="133" spans="1:6" ht="15">
      <c r="A133" s="2"/>
      <c r="B133" s="2"/>
      <c r="C133" s="52"/>
      <c r="D133" s="2"/>
      <c r="E133" s="60"/>
      <c r="F133" s="48"/>
    </row>
    <row r="134" spans="1:6" ht="15">
      <c r="A134" s="2"/>
      <c r="B134" s="2"/>
      <c r="C134" s="52"/>
      <c r="D134" s="2"/>
      <c r="E134" s="60"/>
      <c r="F134" s="48"/>
    </row>
    <row r="135" spans="1:6" ht="15">
      <c r="A135" s="2"/>
      <c r="B135" s="2"/>
      <c r="C135" s="52"/>
      <c r="D135" s="2"/>
      <c r="E135" s="60"/>
      <c r="F135" s="48"/>
    </row>
    <row r="136" spans="1:6" ht="15">
      <c r="A136" s="2"/>
      <c r="B136" s="2"/>
      <c r="C136" s="52"/>
      <c r="D136" s="2"/>
      <c r="E136" s="60"/>
      <c r="F136" s="48"/>
    </row>
    <row r="137" spans="1:6" ht="15">
      <c r="A137" s="2"/>
      <c r="B137" s="2"/>
      <c r="C137" s="52"/>
      <c r="D137" s="2"/>
      <c r="E137" s="60"/>
      <c r="F137" s="48"/>
    </row>
    <row r="138" spans="1:6" ht="15">
      <c r="A138" s="2"/>
      <c r="B138" s="2"/>
      <c r="C138" s="52"/>
      <c r="D138" s="2"/>
      <c r="E138" s="60"/>
      <c r="F138" s="48"/>
    </row>
    <row r="139" spans="1:6" ht="15">
      <c r="A139" s="2"/>
      <c r="B139" s="2"/>
      <c r="C139" s="52"/>
      <c r="D139" s="2"/>
      <c r="E139" s="60"/>
      <c r="F139" s="48"/>
    </row>
    <row r="140" spans="1:6" ht="15">
      <c r="A140" s="2"/>
      <c r="B140" s="2"/>
      <c r="C140" s="52"/>
      <c r="D140" s="2"/>
      <c r="E140" s="60"/>
      <c r="F140" s="48"/>
    </row>
    <row r="141" spans="1:6" ht="15">
      <c r="A141" s="2"/>
      <c r="B141" s="2"/>
      <c r="C141" s="52"/>
      <c r="D141" s="2"/>
      <c r="E141" s="60"/>
      <c r="F141" s="48"/>
    </row>
    <row r="142" spans="1:6" ht="15">
      <c r="A142" s="2"/>
      <c r="B142" s="2"/>
      <c r="C142" s="52"/>
      <c r="D142" s="2"/>
      <c r="E142" s="60"/>
      <c r="F142" s="48"/>
    </row>
    <row r="143" spans="1:6" ht="15">
      <c r="A143" s="2"/>
      <c r="B143" s="2"/>
      <c r="C143" s="52"/>
      <c r="D143" s="2"/>
      <c r="E143" s="60"/>
      <c r="F143" s="48"/>
    </row>
    <row r="144" spans="1:6" ht="15">
      <c r="A144" s="2"/>
      <c r="B144" s="2"/>
      <c r="C144" s="52"/>
      <c r="D144" s="2"/>
      <c r="E144" s="60"/>
      <c r="F144" s="48"/>
    </row>
    <row r="145" spans="1:6" ht="15">
      <c r="A145" s="2"/>
      <c r="B145" s="2"/>
      <c r="C145" s="52"/>
      <c r="D145" s="2"/>
      <c r="E145" s="60"/>
      <c r="F145" s="48"/>
    </row>
    <row r="146" spans="1:6" ht="15">
      <c r="A146" s="2"/>
      <c r="B146" s="2"/>
      <c r="C146" s="52"/>
      <c r="D146" s="2"/>
      <c r="E146" s="60"/>
      <c r="F146" s="48"/>
    </row>
    <row r="147" spans="1:6" ht="15">
      <c r="A147" s="2"/>
      <c r="B147" s="2"/>
      <c r="C147" s="52"/>
      <c r="D147" s="2"/>
      <c r="E147" s="60"/>
      <c r="F147" s="48"/>
    </row>
    <row r="148" spans="1:6" ht="15">
      <c r="A148" s="2"/>
      <c r="B148" s="2"/>
      <c r="C148" s="52"/>
      <c r="D148" s="2"/>
      <c r="E148" s="60"/>
      <c r="F148" s="48"/>
    </row>
    <row r="149" spans="1:6" ht="15">
      <c r="A149" s="2"/>
      <c r="B149" s="2"/>
      <c r="C149" s="52"/>
      <c r="D149" s="2"/>
      <c r="E149" s="60"/>
      <c r="F149" s="48"/>
    </row>
    <row r="150" spans="1:6" ht="15">
      <c r="A150" s="2"/>
      <c r="B150" s="2"/>
      <c r="C150" s="52"/>
      <c r="D150" s="2"/>
      <c r="E150" s="60"/>
      <c r="F150" s="48"/>
    </row>
    <row r="151" spans="1:6" ht="15">
      <c r="A151" s="2"/>
      <c r="B151" s="2"/>
      <c r="C151" s="52"/>
      <c r="D151" s="2"/>
      <c r="E151" s="60"/>
      <c r="F151" s="48"/>
    </row>
    <row r="152" spans="1:6" ht="15">
      <c r="A152" s="2"/>
      <c r="B152" s="2"/>
      <c r="C152" s="52"/>
      <c r="D152" s="2"/>
      <c r="E152" s="60"/>
      <c r="F152" s="48"/>
    </row>
    <row r="153" spans="1:6" ht="15">
      <c r="A153" s="2"/>
      <c r="B153" s="2"/>
      <c r="C153" s="52"/>
      <c r="D153" s="2"/>
      <c r="E153" s="60"/>
      <c r="F153" s="48"/>
    </row>
    <row r="154" spans="1:6" ht="15">
      <c r="A154" s="2"/>
      <c r="B154" s="2"/>
      <c r="C154" s="52"/>
      <c r="D154" s="2"/>
      <c r="E154" s="60"/>
      <c r="F154" s="48"/>
    </row>
    <row r="155" spans="1:6" ht="15">
      <c r="A155" s="2"/>
      <c r="B155" s="2"/>
      <c r="C155" s="52"/>
      <c r="D155" s="2"/>
      <c r="E155" s="60"/>
      <c r="F155" s="48"/>
    </row>
    <row r="156" spans="1:6" ht="15">
      <c r="A156" s="2"/>
      <c r="B156" s="2"/>
      <c r="C156" s="52"/>
      <c r="D156" s="2"/>
      <c r="E156" s="60"/>
      <c r="F156" s="48"/>
    </row>
    <row r="157" spans="1:6" ht="15">
      <c r="A157" s="2"/>
      <c r="B157" s="2"/>
      <c r="C157" s="52"/>
      <c r="D157" s="2"/>
      <c r="E157" s="60"/>
      <c r="F157" s="48"/>
    </row>
    <row r="158" spans="1:6" ht="15">
      <c r="A158" s="2"/>
      <c r="B158" s="2"/>
      <c r="C158" s="52"/>
      <c r="D158" s="2"/>
      <c r="E158" s="60"/>
      <c r="F158" s="48"/>
    </row>
    <row r="159" spans="1:6" ht="15">
      <c r="A159" s="2"/>
      <c r="B159" s="2"/>
      <c r="C159" s="52"/>
      <c r="D159" s="2"/>
      <c r="E159" s="60"/>
      <c r="F159" s="48"/>
    </row>
    <row r="160" spans="1:6" ht="15">
      <c r="A160" s="2"/>
      <c r="B160" s="2"/>
      <c r="C160" s="52"/>
      <c r="D160" s="2"/>
      <c r="E160" s="60"/>
      <c r="F160" s="48"/>
    </row>
    <row r="161" spans="1:6" ht="15">
      <c r="A161" s="2"/>
      <c r="B161" s="2"/>
      <c r="C161" s="52"/>
      <c r="D161" s="2"/>
      <c r="E161" s="60"/>
      <c r="F161" s="48"/>
    </row>
    <row r="162" spans="1:6" ht="15">
      <c r="A162" s="2"/>
      <c r="B162" s="2"/>
      <c r="C162" s="52"/>
      <c r="D162" s="2"/>
      <c r="E162" s="60"/>
      <c r="F162" s="48"/>
    </row>
    <row r="163" spans="1:6" ht="15">
      <c r="A163" s="2"/>
      <c r="B163" s="2"/>
      <c r="C163" s="52"/>
      <c r="D163" s="2"/>
      <c r="E163" s="60"/>
      <c r="F163" s="48"/>
    </row>
    <row r="164" spans="1:6" ht="15">
      <c r="A164" s="2"/>
      <c r="B164" s="2"/>
      <c r="C164" s="52"/>
      <c r="D164" s="2"/>
      <c r="E164" s="60"/>
      <c r="F164" s="48"/>
    </row>
    <row r="165" spans="1:6" ht="15">
      <c r="A165" s="2"/>
      <c r="B165" s="2"/>
      <c r="C165" s="52"/>
      <c r="D165" s="2"/>
      <c r="E165" s="60"/>
      <c r="F165" s="48"/>
    </row>
    <row r="166" spans="1:6" ht="15">
      <c r="A166" s="2"/>
      <c r="B166" s="2"/>
      <c r="C166" s="52"/>
      <c r="D166" s="2"/>
      <c r="E166" s="60"/>
      <c r="F166" s="48"/>
    </row>
    <row r="167" spans="1:6" ht="15">
      <c r="A167" s="2"/>
      <c r="B167" s="2"/>
      <c r="C167" s="52"/>
      <c r="D167" s="2"/>
      <c r="E167" s="60"/>
      <c r="F167" s="48"/>
    </row>
    <row r="168" spans="1:6" ht="15">
      <c r="A168" s="2"/>
      <c r="B168" s="2"/>
      <c r="C168" s="52"/>
      <c r="D168" s="2"/>
      <c r="E168" s="60"/>
      <c r="F168" s="48"/>
    </row>
    <row r="169" spans="1:6" ht="15">
      <c r="A169" s="2"/>
      <c r="B169" s="2"/>
      <c r="C169" s="52"/>
      <c r="D169" s="2"/>
      <c r="E169" s="60"/>
      <c r="F169" s="48"/>
    </row>
    <row r="170" spans="1:6" ht="15">
      <c r="A170" s="2"/>
      <c r="B170" s="2"/>
      <c r="C170" s="52"/>
      <c r="D170" s="2"/>
      <c r="E170" s="60"/>
      <c r="F170" s="48"/>
    </row>
    <row r="171" spans="1:6" ht="15">
      <c r="A171" s="2"/>
      <c r="B171" s="2"/>
      <c r="C171" s="52"/>
      <c r="D171" s="2"/>
      <c r="E171" s="60"/>
      <c r="F171" s="48"/>
    </row>
    <row r="172" spans="1:6" ht="15">
      <c r="A172" s="2"/>
      <c r="B172" s="2"/>
      <c r="C172" s="52"/>
      <c r="D172" s="2"/>
      <c r="E172" s="60"/>
      <c r="F172" s="48"/>
    </row>
    <row r="173" spans="1:6" ht="15">
      <c r="A173" s="2"/>
      <c r="B173" s="2"/>
      <c r="C173" s="52"/>
      <c r="D173" s="2"/>
      <c r="E173" s="60"/>
      <c r="F173" s="48"/>
    </row>
    <row r="174" spans="1:6" ht="15">
      <c r="A174" s="2"/>
      <c r="B174" s="2"/>
      <c r="C174" s="52"/>
      <c r="D174" s="2"/>
      <c r="E174" s="60"/>
      <c r="F174" s="48"/>
    </row>
    <row r="175" spans="1:6" ht="15">
      <c r="A175" s="2"/>
      <c r="B175" s="2"/>
      <c r="C175" s="52"/>
      <c r="D175" s="2"/>
      <c r="E175" s="60"/>
      <c r="F175" s="48"/>
    </row>
    <row r="176" spans="1:6" ht="15">
      <c r="A176" s="2"/>
      <c r="B176" s="2"/>
      <c r="C176" s="52"/>
      <c r="D176" s="2"/>
      <c r="E176" s="60"/>
      <c r="F176" s="48"/>
    </row>
    <row r="177" spans="1:6" ht="15">
      <c r="A177" s="2"/>
      <c r="B177" s="2"/>
      <c r="C177" s="52"/>
      <c r="D177" s="2"/>
      <c r="E177" s="60"/>
      <c r="F177" s="48"/>
    </row>
    <row r="178" spans="1:6" ht="15">
      <c r="A178" s="2"/>
      <c r="B178" s="2"/>
      <c r="C178" s="52"/>
      <c r="D178" s="2"/>
      <c r="E178" s="60"/>
      <c r="F178" s="48"/>
    </row>
    <row r="179" spans="1:6" ht="15">
      <c r="A179" s="2"/>
      <c r="B179" s="2"/>
      <c r="C179" s="52"/>
      <c r="D179" s="2"/>
      <c r="E179" s="60"/>
      <c r="F179" s="48"/>
    </row>
    <row r="180" spans="1:6" ht="15">
      <c r="A180" s="2"/>
      <c r="B180" s="2"/>
      <c r="C180" s="52"/>
      <c r="D180" s="2"/>
      <c r="E180" s="60"/>
      <c r="F180" s="48"/>
    </row>
    <row r="181" spans="1:6" ht="15">
      <c r="A181" s="2"/>
      <c r="B181" s="2"/>
      <c r="C181" s="52"/>
      <c r="D181" s="2"/>
      <c r="E181" s="60"/>
      <c r="F181" s="48"/>
    </row>
    <row r="182" spans="1:6" ht="15">
      <c r="A182" s="2"/>
      <c r="B182" s="2"/>
      <c r="C182" s="52"/>
      <c r="D182" s="2"/>
      <c r="E182" s="60"/>
      <c r="F182" s="48"/>
    </row>
    <row r="183" spans="1:6" ht="15">
      <c r="A183" s="2"/>
      <c r="B183" s="2"/>
      <c r="C183" s="52"/>
      <c r="D183" s="2"/>
      <c r="E183" s="60"/>
      <c r="F183" s="48"/>
    </row>
    <row r="184" spans="1:6" ht="15">
      <c r="A184" s="2"/>
      <c r="B184" s="2"/>
      <c r="C184" s="52"/>
      <c r="D184" s="2"/>
      <c r="E184" s="60"/>
      <c r="F184" s="48"/>
    </row>
    <row r="185" spans="1:6" ht="15">
      <c r="A185" s="2"/>
      <c r="B185" s="2"/>
      <c r="C185" s="52"/>
      <c r="D185" s="2"/>
      <c r="E185" s="60"/>
      <c r="F185" s="48"/>
    </row>
    <row r="186" spans="1:6" ht="15">
      <c r="A186" s="2"/>
      <c r="B186" s="2"/>
      <c r="C186" s="52"/>
      <c r="D186" s="2"/>
      <c r="E186" s="60"/>
      <c r="F186" s="48"/>
    </row>
    <row r="187" spans="1:6" ht="15">
      <c r="A187" s="2"/>
      <c r="B187" s="2"/>
      <c r="C187" s="52"/>
      <c r="D187" s="2"/>
      <c r="E187" s="60"/>
      <c r="F187" s="48"/>
    </row>
    <row r="188" spans="1:6" ht="15">
      <c r="A188" s="2"/>
      <c r="B188" s="2"/>
      <c r="C188" s="52"/>
      <c r="D188" s="2"/>
      <c r="E188" s="60"/>
      <c r="F188" s="48"/>
    </row>
    <row r="189" spans="1:6" ht="15">
      <c r="A189" s="2"/>
      <c r="B189" s="2"/>
      <c r="C189" s="52"/>
      <c r="D189" s="2"/>
      <c r="E189" s="60"/>
      <c r="F189" s="48"/>
    </row>
    <row r="190" spans="1:6" ht="15">
      <c r="A190" s="2"/>
      <c r="B190" s="2"/>
      <c r="C190" s="52"/>
      <c r="D190" s="2"/>
      <c r="E190" s="60"/>
      <c r="F190" s="48"/>
    </row>
    <row r="191" spans="1:6" ht="15">
      <c r="A191" s="2"/>
      <c r="B191" s="2"/>
      <c r="C191" s="52"/>
      <c r="D191" s="2"/>
      <c r="E191" s="60"/>
      <c r="F191" s="48"/>
    </row>
    <row r="192" spans="1:6" ht="15">
      <c r="A192" s="2"/>
      <c r="B192" s="2"/>
      <c r="C192" s="52"/>
      <c r="D192" s="2"/>
      <c r="E192" s="60"/>
      <c r="F192" s="48"/>
    </row>
    <row r="193" spans="1:6" ht="15">
      <c r="A193" s="2"/>
      <c r="B193" s="2"/>
      <c r="C193" s="52"/>
      <c r="D193" s="2"/>
      <c r="E193" s="60"/>
      <c r="F193" s="48"/>
    </row>
    <row r="194" spans="1:6" ht="15">
      <c r="A194" s="2"/>
      <c r="B194" s="2"/>
      <c r="C194" s="52"/>
      <c r="D194" s="2"/>
      <c r="E194" s="60"/>
      <c r="F194" s="48"/>
    </row>
    <row r="195" spans="1:6" ht="15">
      <c r="A195" s="2"/>
      <c r="B195" s="2"/>
      <c r="C195" s="52"/>
      <c r="D195" s="2"/>
      <c r="E195" s="60"/>
      <c r="F195" s="48"/>
    </row>
    <row r="196" spans="1:6" ht="15">
      <c r="A196" s="2"/>
      <c r="B196" s="2"/>
      <c r="C196" s="52"/>
      <c r="D196" s="2"/>
      <c r="E196" s="60"/>
      <c r="F196" s="48"/>
    </row>
    <row r="197" spans="1:6" ht="15">
      <c r="A197" s="2"/>
      <c r="B197" s="2"/>
      <c r="C197" s="52"/>
      <c r="D197" s="2"/>
      <c r="E197" s="60"/>
      <c r="F197" s="48"/>
    </row>
    <row r="198" spans="1:6" ht="15">
      <c r="A198" s="2"/>
      <c r="B198" s="2"/>
      <c r="C198" s="52"/>
      <c r="D198" s="2"/>
      <c r="E198" s="60"/>
      <c r="F198" s="48"/>
    </row>
  </sheetData>
  <sheetProtection/>
  <mergeCells count="8">
    <mergeCell ref="A5:F5"/>
    <mergeCell ref="C34:E34"/>
    <mergeCell ref="B114:D114"/>
    <mergeCell ref="B115:D115"/>
    <mergeCell ref="C53:E53"/>
    <mergeCell ref="C46:E46"/>
    <mergeCell ref="A6:F6"/>
    <mergeCell ref="C24:E24"/>
  </mergeCells>
  <printOptions horizontalCentered="1" verticalCentered="1"/>
  <pageMargins left="0.5905511811023623" right="0.23" top="0.7874015748031497" bottom="1.11" header="0.3937007874015748" footer="0.74"/>
  <pageSetup fitToHeight="6" horizontalDpi="180" verticalDpi="180" orientation="portrait" scale="75" r:id="rId1"/>
  <headerFooter alignWithMargins="0">
    <oddHeader>&amp;LProyecto de Agua Potable.
Estudio de Factibilidad 2,008&amp;RComunidad  Mongallo/Negrowas
Municipio Siuna RAAN</oddHeader>
    <oddFooter>&amp;L&amp;F
&amp;D&amp;C&amp;P&amp;RAPLV - Rio Blanco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134"/>
  <sheetViews>
    <sheetView workbookViewId="0" topLeftCell="A55">
      <selection activeCell="F70" sqref="F70"/>
    </sheetView>
  </sheetViews>
  <sheetFormatPr defaultColWidth="11.421875" defaultRowHeight="12.75"/>
  <cols>
    <col min="1" max="1" width="7.140625" style="18" customWidth="1"/>
    <col min="2" max="2" width="54.8515625" style="18" customWidth="1"/>
    <col min="3" max="3" width="15.00390625" style="61" customWidth="1"/>
    <col min="4" max="4" width="12.421875" style="18" customWidth="1"/>
    <col min="5" max="5" width="15.7109375" style="19" customWidth="1"/>
    <col min="6" max="6" width="17.57421875" style="19" customWidth="1"/>
    <col min="7" max="7" width="17.28125" style="2" customWidth="1"/>
    <col min="8" max="8" width="14.00390625" style="19" bestFit="1" customWidth="1"/>
    <col min="9" max="16384" width="11.421875" style="18" customWidth="1"/>
  </cols>
  <sheetData>
    <row r="1" spans="1:5" ht="15.75">
      <c r="A1" s="150" t="s">
        <v>278</v>
      </c>
      <c r="B1" s="150"/>
      <c r="C1" s="150"/>
      <c r="D1" s="150"/>
      <c r="E1" s="298"/>
    </row>
    <row r="2" spans="1:5" ht="15.75">
      <c r="A2" s="150" t="s">
        <v>283</v>
      </c>
      <c r="B2" s="150"/>
      <c r="C2" s="150"/>
      <c r="D2" s="150"/>
      <c r="E2" s="298"/>
    </row>
    <row r="3" spans="1:5" ht="15.75">
      <c r="A3" s="150" t="s">
        <v>284</v>
      </c>
      <c r="B3" s="150"/>
      <c r="C3" s="150"/>
      <c r="D3" s="150"/>
      <c r="E3" s="298"/>
    </row>
    <row r="5" spans="1:6" ht="15.75">
      <c r="A5" s="601" t="s">
        <v>297</v>
      </c>
      <c r="B5" s="601"/>
      <c r="C5" s="601"/>
      <c r="D5" s="601"/>
      <c r="E5" s="601"/>
      <c r="F5" s="601"/>
    </row>
    <row r="6" spans="1:6" ht="15.75">
      <c r="A6" s="601" t="s">
        <v>324</v>
      </c>
      <c r="B6" s="601"/>
      <c r="C6" s="601"/>
      <c r="D6" s="601"/>
      <c r="E6" s="601"/>
      <c r="F6" s="601"/>
    </row>
    <row r="7" spans="1:7" ht="15.75">
      <c r="A7" s="74"/>
      <c r="B7" s="74"/>
      <c r="C7" s="50"/>
      <c r="D7" s="74"/>
      <c r="E7" s="51"/>
      <c r="F7" s="51"/>
      <c r="G7" s="9"/>
    </row>
    <row r="8" spans="1:8" s="9" customFormat="1" ht="16.5">
      <c r="A8" s="67" t="s">
        <v>250</v>
      </c>
      <c r="B8" s="69"/>
      <c r="C8" s="51">
        <v>2</v>
      </c>
      <c r="D8" s="60"/>
      <c r="E8" s="311"/>
      <c r="F8" s="63"/>
      <c r="G8" s="60"/>
      <c r="H8" s="312"/>
    </row>
    <row r="9" spans="1:8" s="9" customFormat="1" ht="16.5">
      <c r="A9" s="60"/>
      <c r="B9" s="60" t="s">
        <v>152</v>
      </c>
      <c r="C9" s="62">
        <v>16</v>
      </c>
      <c r="D9" s="238" t="str">
        <f>VLOOKUP(B9,'[1]Resumen'!$B$7:$D$156,3,0)</f>
        <v>bolsas</v>
      </c>
      <c r="E9" s="270">
        <v>180</v>
      </c>
      <c r="F9" s="260">
        <f aca="true" t="shared" si="0" ref="F9:F17">E9*C9</f>
        <v>2880</v>
      </c>
      <c r="G9" s="60"/>
      <c r="H9" s="312"/>
    </row>
    <row r="10" spans="1:8" s="9" customFormat="1" ht="16.5">
      <c r="A10" s="60"/>
      <c r="B10" s="60" t="s">
        <v>150</v>
      </c>
      <c r="C10" s="62">
        <v>2</v>
      </c>
      <c r="D10" s="238" t="str">
        <f>VLOOKUP(B10,'[1]Resumen'!$B$7:$D$156,3,0)</f>
        <v>m3</v>
      </c>
      <c r="E10" s="270">
        <v>700</v>
      </c>
      <c r="F10" s="260">
        <f t="shared" si="0"/>
        <v>1400</v>
      </c>
      <c r="G10" s="60"/>
      <c r="H10" s="312"/>
    </row>
    <row r="11" spans="1:8" s="9" customFormat="1" ht="16.5">
      <c r="A11" s="60"/>
      <c r="B11" s="60" t="s">
        <v>151</v>
      </c>
      <c r="C11" s="62">
        <v>1</v>
      </c>
      <c r="D11" s="238" t="str">
        <f>VLOOKUP(B11,'[1]Resumen'!$B$7:$D$156,3,0)</f>
        <v>m3</v>
      </c>
      <c r="E11" s="270">
        <v>850</v>
      </c>
      <c r="F11" s="260">
        <f t="shared" si="0"/>
        <v>850</v>
      </c>
      <c r="G11" s="60"/>
      <c r="H11" s="312"/>
    </row>
    <row r="12" spans="1:8" s="9" customFormat="1" ht="16.5">
      <c r="A12" s="60"/>
      <c r="B12" s="60" t="s">
        <v>149</v>
      </c>
      <c r="C12" s="62">
        <v>400</v>
      </c>
      <c r="D12" s="238" t="str">
        <f>VLOOKUP(B12,'[1]Resumen'!$B$7:$D$156,3,0)</f>
        <v>Unidad</v>
      </c>
      <c r="E12" s="270">
        <v>1.6</v>
      </c>
      <c r="F12" s="260">
        <f t="shared" si="0"/>
        <v>640</v>
      </c>
      <c r="G12" s="60"/>
      <c r="H12" s="312"/>
    </row>
    <row r="13" spans="1:8" s="9" customFormat="1" ht="16.5">
      <c r="A13" s="60"/>
      <c r="B13" s="60" t="s">
        <v>209</v>
      </c>
      <c r="C13" s="62">
        <v>2</v>
      </c>
      <c r="D13" s="238" t="str">
        <f>VLOOKUP(B13,'[1]Resumen'!$B$7:$D$156,3,0)</f>
        <v>qq</v>
      </c>
      <c r="E13" s="270">
        <v>1500</v>
      </c>
      <c r="F13" s="260">
        <f t="shared" si="0"/>
        <v>3000</v>
      </c>
      <c r="G13" s="60"/>
      <c r="H13" s="312"/>
    </row>
    <row r="14" spans="1:8" s="9" customFormat="1" ht="16.5">
      <c r="A14" s="60"/>
      <c r="B14" s="60" t="s">
        <v>210</v>
      </c>
      <c r="C14" s="62">
        <v>0.5</v>
      </c>
      <c r="D14" s="238" t="str">
        <f>VLOOKUP(B14,'[1]Resumen'!$B$7:$D$156,3,0)</f>
        <v>qq</v>
      </c>
      <c r="E14" s="270">
        <v>1400</v>
      </c>
      <c r="F14" s="260">
        <f t="shared" si="0"/>
        <v>700</v>
      </c>
      <c r="G14" s="60"/>
      <c r="H14" s="312"/>
    </row>
    <row r="15" spans="1:8" s="9" customFormat="1" ht="16.5">
      <c r="A15" s="60"/>
      <c r="B15" s="60" t="s">
        <v>10</v>
      </c>
      <c r="C15" s="62">
        <v>2</v>
      </c>
      <c r="D15" s="238" t="str">
        <f>VLOOKUP(B15,'[1]Resumen'!$B$7:$D$156,3,0)</f>
        <v>Unidad</v>
      </c>
      <c r="E15" s="270">
        <v>950</v>
      </c>
      <c r="F15" s="260">
        <f t="shared" si="0"/>
        <v>1900</v>
      </c>
      <c r="G15" s="60"/>
      <c r="H15" s="312"/>
    </row>
    <row r="16" spans="1:8" s="9" customFormat="1" ht="16.5">
      <c r="A16" s="60"/>
      <c r="B16" s="60" t="s">
        <v>11</v>
      </c>
      <c r="C16" s="62">
        <v>2</v>
      </c>
      <c r="D16" s="238" t="str">
        <f>VLOOKUP(B16,'[1]Resumen'!$B$7:$D$156,3,0)</f>
        <v>Unidad</v>
      </c>
      <c r="E16" s="270">
        <v>95</v>
      </c>
      <c r="F16" s="260">
        <f t="shared" si="0"/>
        <v>190</v>
      </c>
      <c r="G16" s="60"/>
      <c r="H16" s="312"/>
    </row>
    <row r="17" spans="1:8" s="9" customFormat="1" ht="16.5">
      <c r="A17" s="60"/>
      <c r="B17" s="60" t="s">
        <v>9</v>
      </c>
      <c r="C17" s="62">
        <v>6</v>
      </c>
      <c r="D17" s="238" t="str">
        <f>VLOOKUP(B17,'[1]Resumen'!$B$7:$D$156,3,0)</f>
        <v>lbs</v>
      </c>
      <c r="E17" s="270">
        <v>20</v>
      </c>
      <c r="F17" s="260">
        <f t="shared" si="0"/>
        <v>120</v>
      </c>
      <c r="G17" s="60"/>
      <c r="H17" s="312"/>
    </row>
    <row r="18" spans="1:8" s="9" customFormat="1" ht="16.5">
      <c r="A18" s="239"/>
      <c r="B18" s="598" t="s">
        <v>291</v>
      </c>
      <c r="C18" s="598"/>
      <c r="D18" s="598"/>
      <c r="E18" s="598"/>
      <c r="F18" s="265">
        <f>SUM(F9:F17)</f>
        <v>11680</v>
      </c>
      <c r="G18" s="60" t="s">
        <v>13</v>
      </c>
      <c r="H18" s="312"/>
    </row>
    <row r="19" spans="1:7" ht="15.75">
      <c r="A19" s="60"/>
      <c r="B19" s="60"/>
      <c r="C19" s="240"/>
      <c r="D19" s="241"/>
      <c r="E19" s="46" t="s">
        <v>157</v>
      </c>
      <c r="F19" s="47">
        <f>SUM(F18)</f>
        <v>11680</v>
      </c>
      <c r="G19" s="60"/>
    </row>
    <row r="20" spans="1:7" ht="15.75">
      <c r="A20" s="246" t="s">
        <v>161</v>
      </c>
      <c r="B20" s="68"/>
      <c r="C20" s="187">
        <v>4</v>
      </c>
      <c r="D20" s="246" t="s">
        <v>7</v>
      </c>
      <c r="E20" s="299"/>
      <c r="F20" s="76"/>
      <c r="G20" s="68"/>
    </row>
    <row r="21" spans="1:7" ht="15.75">
      <c r="A21" s="68" t="s">
        <v>6</v>
      </c>
      <c r="B21" s="68"/>
      <c r="C21" s="45"/>
      <c r="D21" s="68"/>
      <c r="E21" s="299"/>
      <c r="F21" s="76"/>
      <c r="G21" s="68"/>
    </row>
    <row r="22" spans="1:7" ht="15">
      <c r="A22" s="68"/>
      <c r="B22" s="68" t="s">
        <v>152</v>
      </c>
      <c r="C22" s="251">
        <v>5</v>
      </c>
      <c r="D22" s="238" t="str">
        <f>VLOOKUP(B22,'[1]Resumen'!$B$7:$D$156,3,0)</f>
        <v>bolsas</v>
      </c>
      <c r="E22" s="270">
        <f>VLOOKUP(B22,'[1]Resumen'!B$7:E$156,4,FALSE)</f>
        <v>180</v>
      </c>
      <c r="F22" s="260">
        <f>E22*C22</f>
        <v>900</v>
      </c>
      <c r="G22" s="68"/>
    </row>
    <row r="23" spans="1:7" ht="15">
      <c r="A23" s="68"/>
      <c r="B23" s="60" t="s">
        <v>209</v>
      </c>
      <c r="C23" s="251">
        <v>1</v>
      </c>
      <c r="D23" s="238" t="str">
        <f>VLOOKUP(B23,'[1]Resumen'!$B$7:$D$156,3,0)</f>
        <v>qq</v>
      </c>
      <c r="E23" s="270">
        <f>VLOOKUP(B23,'[1]Resumen'!B$7:E$156,4,FALSE)</f>
        <v>1500</v>
      </c>
      <c r="F23" s="260">
        <f>E23*C23</f>
        <v>1500</v>
      </c>
      <c r="G23" s="68"/>
    </row>
    <row r="24" spans="1:7" ht="16.5" thickBot="1">
      <c r="A24" s="68"/>
      <c r="B24" s="68"/>
      <c r="C24" s="68"/>
      <c r="D24" s="68"/>
      <c r="E24" s="185" t="s">
        <v>12</v>
      </c>
      <c r="F24" s="310">
        <f>SUM(F22:F23)</f>
        <v>2400</v>
      </c>
      <c r="G24" s="68" t="s">
        <v>13</v>
      </c>
    </row>
    <row r="25" spans="1:7" ht="16.5" thickTop="1">
      <c r="A25" s="239"/>
      <c r="B25" s="598" t="s">
        <v>293</v>
      </c>
      <c r="C25" s="598"/>
      <c r="D25" s="598"/>
      <c r="E25" s="598"/>
      <c r="F25" s="263">
        <f>SUMIF(E20:E24,"Subtotal",F20:F24)</f>
        <v>2400</v>
      </c>
      <c r="G25" s="68"/>
    </row>
    <row r="26" spans="1:7" ht="15.75">
      <c r="A26" s="245" t="s">
        <v>185</v>
      </c>
      <c r="B26" s="182"/>
      <c r="C26" s="182" t="s">
        <v>328</v>
      </c>
      <c r="D26" s="182"/>
      <c r="E26" s="253"/>
      <c r="F26" s="245"/>
      <c r="G26" s="68"/>
    </row>
    <row r="27" spans="1:7" ht="15">
      <c r="A27" s="68" t="s">
        <v>14</v>
      </c>
      <c r="B27" s="68"/>
      <c r="C27" s="45"/>
      <c r="D27" s="68"/>
      <c r="E27" s="68"/>
      <c r="F27" s="68"/>
      <c r="G27" s="68"/>
    </row>
    <row r="28" spans="1:7" ht="15">
      <c r="A28" s="68"/>
      <c r="B28" s="68" t="s">
        <v>15</v>
      </c>
      <c r="C28" s="251">
        <v>4</v>
      </c>
      <c r="D28" s="238" t="str">
        <f>VLOOKUP(B28,'[1]Resumen'!$B$7:$D$156,3,0)</f>
        <v>docena</v>
      </c>
      <c r="E28" s="270">
        <f>VLOOKUP(B28,'[1]Resumen'!B$7:E$156,4,FALSE)</f>
        <v>2800</v>
      </c>
      <c r="F28" s="260">
        <f>E28*C28</f>
        <v>11200</v>
      </c>
      <c r="G28" s="68"/>
    </row>
    <row r="29" spans="1:7" ht="15">
      <c r="A29" s="68"/>
      <c r="B29" s="68" t="s">
        <v>16</v>
      </c>
      <c r="C29" s="251">
        <v>4</v>
      </c>
      <c r="D29" s="238" t="str">
        <f>VLOOKUP(B29,'[1]Resumen'!$B$7:$D$156,3,0)</f>
        <v>docena</v>
      </c>
      <c r="E29" s="270">
        <f>VLOOKUP(B29,'[1]Resumen'!B$7:E$156,4,FALSE)</f>
        <v>2100</v>
      </c>
      <c r="F29" s="260">
        <f>E29*C29</f>
        <v>8400</v>
      </c>
      <c r="G29" s="68"/>
    </row>
    <row r="30" spans="1:7" ht="15">
      <c r="A30" s="68" t="s">
        <v>8</v>
      </c>
      <c r="B30" s="68" t="s">
        <v>17</v>
      </c>
      <c r="C30" s="251">
        <v>2</v>
      </c>
      <c r="D30" s="238" t="str">
        <f>VLOOKUP(B30,'[1]Resumen'!$B$7:$D$156,3,0)</f>
        <v>docena</v>
      </c>
      <c r="E30" s="270">
        <f>VLOOKUP(B30,'[1]Resumen'!B$7:E$156,4,FALSE)</f>
        <v>1500</v>
      </c>
      <c r="F30" s="260">
        <f>E30*C30</f>
        <v>3000</v>
      </c>
      <c r="G30" s="68"/>
    </row>
    <row r="31" spans="1:7" ht="15.75">
      <c r="A31" s="68"/>
      <c r="B31" s="68"/>
      <c r="C31" s="313" t="s">
        <v>293</v>
      </c>
      <c r="D31" s="313"/>
      <c r="E31" s="313"/>
      <c r="F31" s="314">
        <f>SUM(F28:F30)</f>
        <v>22600</v>
      </c>
      <c r="G31" s="68" t="s">
        <v>18</v>
      </c>
    </row>
    <row r="32" spans="1:7" ht="15.75">
      <c r="A32" s="68"/>
      <c r="B32" s="68"/>
      <c r="C32" s="184"/>
      <c r="D32" s="68"/>
      <c r="E32" s="185"/>
      <c r="F32" s="80"/>
      <c r="G32" s="68"/>
    </row>
    <row r="33" spans="1:7" ht="15.75">
      <c r="A33" s="245" t="s">
        <v>325</v>
      </c>
      <c r="B33" s="239"/>
      <c r="C33" s="182"/>
      <c r="D33" s="182"/>
      <c r="E33" s="253"/>
      <c r="F33" s="245"/>
      <c r="G33" s="68"/>
    </row>
    <row r="34" spans="1:7" ht="15.75">
      <c r="A34" s="60" t="s">
        <v>22</v>
      </c>
      <c r="B34" s="60"/>
      <c r="C34" s="251"/>
      <c r="D34" s="60"/>
      <c r="E34" s="270"/>
      <c r="F34" s="258"/>
      <c r="G34" s="60"/>
    </row>
    <row r="35" spans="1:7" ht="15">
      <c r="A35" s="60"/>
      <c r="B35" s="60" t="s">
        <v>225</v>
      </c>
      <c r="C35" s="251">
        <v>3</v>
      </c>
      <c r="D35" s="238" t="str">
        <f>VLOOKUP(B35,'[1]Resumen'!$B$7:$D$156,3,0)</f>
        <v>Unidad</v>
      </c>
      <c r="E35" s="270">
        <f>VLOOKUP(B35,'[1]Resumen'!B$7:E$156,4,FALSE)</f>
        <v>100</v>
      </c>
      <c r="F35" s="260">
        <f aca="true" t="shared" si="1" ref="F35:F56">E35*C35</f>
        <v>300</v>
      </c>
      <c r="G35" s="60"/>
    </row>
    <row r="36" spans="1:7" ht="15">
      <c r="A36" s="60"/>
      <c r="B36" s="60" t="s">
        <v>226</v>
      </c>
      <c r="C36" s="251">
        <v>3</v>
      </c>
      <c r="D36" s="238" t="str">
        <f>VLOOKUP(B36,'[1]Resumen'!$B$7:$D$156,3,0)</f>
        <v>Unidad</v>
      </c>
      <c r="E36" s="270">
        <f>VLOOKUP(B36,'[1]Resumen'!B$7:E$156,4,FALSE)</f>
        <v>74</v>
      </c>
      <c r="F36" s="260">
        <f t="shared" si="1"/>
        <v>222</v>
      </c>
      <c r="G36" s="60"/>
    </row>
    <row r="37" spans="1:7" ht="15">
      <c r="A37" s="60"/>
      <c r="B37" s="60" t="s">
        <v>227</v>
      </c>
      <c r="C37" s="251">
        <v>3</v>
      </c>
      <c r="D37" s="238" t="str">
        <f>VLOOKUP(B37,'[1]Resumen'!$B$7:$D$156,3,0)</f>
        <v>Unidad</v>
      </c>
      <c r="E37" s="270">
        <f>VLOOKUP(B37,'[1]Resumen'!B$7:E$156,4,FALSE)</f>
        <v>48.5</v>
      </c>
      <c r="F37" s="260">
        <f t="shared" si="1"/>
        <v>145.5</v>
      </c>
      <c r="G37" s="60"/>
    </row>
    <row r="38" spans="1:7" ht="15">
      <c r="A38" s="60"/>
      <c r="B38" s="60" t="s">
        <v>228</v>
      </c>
      <c r="C38" s="251">
        <v>3</v>
      </c>
      <c r="D38" s="238" t="str">
        <f>VLOOKUP(B38,'[1]Resumen'!$B$7:$D$156,3,0)</f>
        <v>Unidad</v>
      </c>
      <c r="E38" s="270">
        <f>VLOOKUP(B38,'[1]Resumen'!B$7:E$156,4,FALSE)</f>
        <v>41</v>
      </c>
      <c r="F38" s="260">
        <f t="shared" si="1"/>
        <v>123</v>
      </c>
      <c r="G38" s="60"/>
    </row>
    <row r="39" spans="1:7" ht="15">
      <c r="A39" s="60"/>
      <c r="B39" s="60" t="s">
        <v>229</v>
      </c>
      <c r="C39" s="251">
        <v>3</v>
      </c>
      <c r="D39" s="238" t="str">
        <f>VLOOKUP(B39,'[1]Resumen'!$B$7:$D$156,3,0)</f>
        <v>Unidad</v>
      </c>
      <c r="E39" s="270">
        <f>VLOOKUP(B39,'[1]Resumen'!B$7:E$156,4,FALSE)</f>
        <v>25.5</v>
      </c>
      <c r="F39" s="260">
        <f t="shared" si="1"/>
        <v>76.5</v>
      </c>
      <c r="G39" s="60"/>
    </row>
    <row r="40" spans="1:7" ht="15">
      <c r="A40" s="60"/>
      <c r="B40" s="60" t="s">
        <v>106</v>
      </c>
      <c r="C40" s="251">
        <v>3</v>
      </c>
      <c r="D40" s="238" t="str">
        <f>VLOOKUP(B40,'[1]Resumen'!$B$7:$D$156,3,0)</f>
        <v>Unidad</v>
      </c>
      <c r="E40" s="270">
        <f>VLOOKUP(B40,'[1]Resumen'!B$7:E$156,4,FALSE)</f>
        <v>20.29</v>
      </c>
      <c r="F40" s="260">
        <f t="shared" si="1"/>
        <v>60.87</v>
      </c>
      <c r="G40" s="60"/>
    </row>
    <row r="41" spans="1:7" ht="15">
      <c r="A41" s="60"/>
      <c r="B41" s="60" t="s">
        <v>105</v>
      </c>
      <c r="C41" s="251">
        <v>3</v>
      </c>
      <c r="D41" s="238" t="str">
        <f>VLOOKUP(B41,'[1]Resumen'!$B$7:$D$156,3,0)</f>
        <v>Unidad</v>
      </c>
      <c r="E41" s="270">
        <f>VLOOKUP(B41,'[1]Resumen'!B$7:E$156,4,FALSE)</f>
        <v>11.1</v>
      </c>
      <c r="F41" s="260">
        <f t="shared" si="1"/>
        <v>33.3</v>
      </c>
      <c r="G41" s="60"/>
    </row>
    <row r="42" spans="1:7" ht="15">
      <c r="A42" s="60"/>
      <c r="B42" s="60" t="s">
        <v>82</v>
      </c>
      <c r="C42" s="251">
        <v>3</v>
      </c>
      <c r="D42" s="238" t="str">
        <f>VLOOKUP(B42,'[1]Resumen'!$B$7:$D$156,3,0)</f>
        <v>Unidad</v>
      </c>
      <c r="E42" s="270">
        <f>VLOOKUP(B42,'[1]Resumen'!B$7:E$156,4,FALSE)</f>
        <v>8</v>
      </c>
      <c r="F42" s="260">
        <f t="shared" si="1"/>
        <v>24</v>
      </c>
      <c r="G42" s="60"/>
    </row>
    <row r="43" spans="1:7" ht="15">
      <c r="A43" s="60"/>
      <c r="B43" s="60" t="s">
        <v>230</v>
      </c>
      <c r="C43" s="251">
        <v>3</v>
      </c>
      <c r="D43" s="238" t="str">
        <f>VLOOKUP(B43,'[1]Resumen'!$B$7:$D$156,3,0)</f>
        <v>Unidad</v>
      </c>
      <c r="E43" s="270">
        <f>VLOOKUP(B43,'[1]Resumen'!B$7:E$156,4,FALSE)</f>
        <v>5.03</v>
      </c>
      <c r="F43" s="260">
        <f t="shared" si="1"/>
        <v>15.09</v>
      </c>
      <c r="G43" s="60"/>
    </row>
    <row r="44" spans="1:7" ht="15">
      <c r="A44" s="60"/>
      <c r="B44" s="60" t="s">
        <v>234</v>
      </c>
      <c r="C44" s="251">
        <v>3</v>
      </c>
      <c r="D44" s="238" t="str">
        <f>VLOOKUP(B44,'[1]Resumen'!$B$7:$D$156,3,0)</f>
        <v>Unidad</v>
      </c>
      <c r="E44" s="270">
        <f>VLOOKUP(B44,'[1]Resumen'!B$7:E$156,4,FALSE)</f>
        <v>230</v>
      </c>
      <c r="F44" s="260">
        <f t="shared" si="1"/>
        <v>690</v>
      </c>
      <c r="G44" s="60"/>
    </row>
    <row r="45" spans="1:7" ht="15">
      <c r="A45" s="60"/>
      <c r="B45" s="60" t="s">
        <v>218</v>
      </c>
      <c r="C45" s="251">
        <v>4</v>
      </c>
      <c r="D45" s="238" t="str">
        <f>VLOOKUP(B45,'[1]Resumen'!$B$7:$D$156,3,0)</f>
        <v>Unidad</v>
      </c>
      <c r="E45" s="270">
        <f>VLOOKUP(B45,'[1]Resumen'!B$7:E$156,4,FALSE)</f>
        <v>227.5</v>
      </c>
      <c r="F45" s="260">
        <f t="shared" si="1"/>
        <v>910</v>
      </c>
      <c r="G45" s="60"/>
    </row>
    <row r="46" spans="1:7" ht="15">
      <c r="A46" s="60"/>
      <c r="B46" s="60" t="s">
        <v>231</v>
      </c>
      <c r="C46" s="251">
        <v>4</v>
      </c>
      <c r="D46" s="238" t="str">
        <f>VLOOKUP(B46,'[1]Resumen'!$B$7:$D$156,3,0)</f>
        <v>Unidad</v>
      </c>
      <c r="E46" s="270">
        <f>VLOOKUP(B46,'[1]Resumen'!B$7:E$156,4,FALSE)</f>
        <v>145.5</v>
      </c>
      <c r="F46" s="260">
        <f t="shared" si="1"/>
        <v>582</v>
      </c>
      <c r="G46" s="60"/>
    </row>
    <row r="47" spans="1:7" ht="15">
      <c r="A47" s="60"/>
      <c r="B47" s="60" t="s">
        <v>232</v>
      </c>
      <c r="C47" s="251">
        <v>1</v>
      </c>
      <c r="D47" s="238" t="str">
        <f>VLOOKUP(B47,'[1]Resumen'!$B$7:$D$156,3,0)</f>
        <v>Unidad</v>
      </c>
      <c r="E47" s="270">
        <f>VLOOKUP(B47,'[1]Resumen'!B$7:E$156,4,FALSE)</f>
        <v>102</v>
      </c>
      <c r="F47" s="260">
        <f t="shared" si="1"/>
        <v>102</v>
      </c>
      <c r="G47" s="60"/>
    </row>
    <row r="48" spans="1:7" ht="15">
      <c r="A48" s="60"/>
      <c r="B48" s="60" t="s">
        <v>233</v>
      </c>
      <c r="C48" s="251">
        <v>2</v>
      </c>
      <c r="D48" s="238" t="str">
        <f>VLOOKUP(B48,'[1]Resumen'!$B$7:$D$156,3,0)</f>
        <v>Unidad</v>
      </c>
      <c r="E48" s="270">
        <f>VLOOKUP(B48,'[1]Resumen'!B$7:E$156,4,FALSE)</f>
        <v>84</v>
      </c>
      <c r="F48" s="260">
        <f t="shared" si="1"/>
        <v>168</v>
      </c>
      <c r="G48" s="60"/>
    </row>
    <row r="49" spans="1:7" ht="15">
      <c r="A49" s="60"/>
      <c r="B49" s="60" t="s">
        <v>235</v>
      </c>
      <c r="C49" s="251">
        <v>8</v>
      </c>
      <c r="D49" s="238" t="str">
        <f>VLOOKUP(B49,'[1]Resumen'!$B$7:$D$156,3,0)</f>
        <v>Unidad</v>
      </c>
      <c r="E49" s="315">
        <v>275</v>
      </c>
      <c r="F49" s="260">
        <f t="shared" si="1"/>
        <v>2200</v>
      </c>
      <c r="G49" s="60"/>
    </row>
    <row r="50" spans="1:7" ht="15">
      <c r="A50" s="60"/>
      <c r="B50" s="60" t="s">
        <v>219</v>
      </c>
      <c r="C50" s="251">
        <v>12</v>
      </c>
      <c r="D50" s="238" t="str">
        <f>VLOOKUP(B50,'[1]Resumen'!$B$7:$D$156,3,0)</f>
        <v>Unidad</v>
      </c>
      <c r="E50" s="270">
        <f>VLOOKUP(B50,'[1]Resumen'!B$7:E$156,4,FALSE)</f>
        <v>60</v>
      </c>
      <c r="F50" s="260">
        <f t="shared" si="1"/>
        <v>720</v>
      </c>
      <c r="G50" s="60"/>
    </row>
    <row r="51" spans="1:7" ht="15">
      <c r="A51" s="60"/>
      <c r="B51" s="60" t="s">
        <v>163</v>
      </c>
      <c r="C51" s="251">
        <v>6</v>
      </c>
      <c r="D51" s="238" t="str">
        <f>VLOOKUP(B51,'[1]Resumen'!$B$7:$D$156,3,0)</f>
        <v>Unidad</v>
      </c>
      <c r="E51" s="270">
        <f>VLOOKUP(B51,'[1]Resumen'!B$7:E$156,4,FALSE)</f>
        <v>15</v>
      </c>
      <c r="F51" s="260">
        <f t="shared" si="1"/>
        <v>90</v>
      </c>
      <c r="G51" s="60"/>
    </row>
    <row r="52" spans="1:7" ht="15">
      <c r="A52" s="60"/>
      <c r="B52" s="68" t="s">
        <v>238</v>
      </c>
      <c r="C52" s="251">
        <v>3</v>
      </c>
      <c r="D52" s="238" t="str">
        <f>VLOOKUP(B52,'[1]Resumen'!$B$7:$D$156,3,0)</f>
        <v>Unidad</v>
      </c>
      <c r="E52" s="270">
        <v>53</v>
      </c>
      <c r="F52" s="260">
        <f t="shared" si="1"/>
        <v>159</v>
      </c>
      <c r="G52" s="60"/>
    </row>
    <row r="53" spans="1:7" ht="15">
      <c r="A53" s="60"/>
      <c r="B53" s="68" t="s">
        <v>239</v>
      </c>
      <c r="C53" s="251">
        <v>3</v>
      </c>
      <c r="D53" s="238" t="str">
        <f>VLOOKUP(B53,'[1]Resumen'!$B$7:$D$156,3,0)</f>
        <v>Unidad</v>
      </c>
      <c r="E53" s="270">
        <f>VLOOKUP(B53,'[1]Resumen'!B$7:E$156,4,FALSE)</f>
        <v>30.8</v>
      </c>
      <c r="F53" s="260">
        <f t="shared" si="1"/>
        <v>92.4</v>
      </c>
      <c r="G53" s="60"/>
    </row>
    <row r="54" spans="1:7" ht="15">
      <c r="A54" s="60"/>
      <c r="B54" s="68" t="s">
        <v>240</v>
      </c>
      <c r="C54" s="251">
        <v>3</v>
      </c>
      <c r="D54" s="238" t="str">
        <f>VLOOKUP(B54,'[1]Resumen'!$B$7:$D$156,3,0)</f>
        <v>Unidad</v>
      </c>
      <c r="E54" s="270">
        <f>VLOOKUP(B54,'[1]Resumen'!B$7:E$156,4,FALSE)</f>
        <v>22.81</v>
      </c>
      <c r="F54" s="260">
        <f t="shared" si="1"/>
        <v>68.42999999999999</v>
      </c>
      <c r="G54" s="60"/>
    </row>
    <row r="55" spans="1:7" ht="15">
      <c r="A55" s="60"/>
      <c r="B55" s="68" t="s">
        <v>242</v>
      </c>
      <c r="C55" s="251">
        <v>3</v>
      </c>
      <c r="D55" s="238" t="str">
        <f>VLOOKUP(B55,'[1]Resumen'!$B$7:$D$156,3,0)</f>
        <v>Unidad</v>
      </c>
      <c r="E55" s="270">
        <f>VLOOKUP(B55,'[1]Resumen'!B$7:E$156,4,FALSE)</f>
        <v>8.97</v>
      </c>
      <c r="F55" s="260">
        <f t="shared" si="1"/>
        <v>26.910000000000004</v>
      </c>
      <c r="G55" s="60"/>
    </row>
    <row r="56" spans="1:7" ht="15">
      <c r="A56" s="60"/>
      <c r="B56" s="60" t="s">
        <v>100</v>
      </c>
      <c r="C56" s="251">
        <v>70</v>
      </c>
      <c r="D56" s="238" t="str">
        <f>VLOOKUP(B56,'[1]Resumen'!$B$7:$D$156,3,0)</f>
        <v>Rollo</v>
      </c>
      <c r="E56" s="270">
        <f>VLOOKUP(B56,'[1]Resumen'!B$7:E$156,4,FALSE)</f>
        <v>6</v>
      </c>
      <c r="F56" s="260">
        <f t="shared" si="1"/>
        <v>420</v>
      </c>
      <c r="G56" s="60"/>
    </row>
    <row r="57" spans="1:7" ht="15.75">
      <c r="A57" s="60"/>
      <c r="B57" s="60"/>
      <c r="C57" s="251"/>
      <c r="D57" s="60"/>
      <c r="E57" s="270" t="s">
        <v>12</v>
      </c>
      <c r="F57" s="258">
        <f>SUM(F35:F56)</f>
        <v>7229</v>
      </c>
      <c r="G57" s="60" t="s">
        <v>22</v>
      </c>
    </row>
    <row r="58" spans="1:7" ht="15.75">
      <c r="A58" s="64" t="s">
        <v>23</v>
      </c>
      <c r="B58" s="60"/>
      <c r="C58" s="51" t="s">
        <v>254</v>
      </c>
      <c r="D58" s="60"/>
      <c r="E58" s="48"/>
      <c r="F58" s="48"/>
      <c r="G58" s="60"/>
    </row>
    <row r="59" spans="1:7" ht="15.75">
      <c r="A59" s="64"/>
      <c r="B59" s="60" t="s">
        <v>222</v>
      </c>
      <c r="C59" s="251">
        <v>8</v>
      </c>
      <c r="D59" s="238" t="str">
        <f>VLOOKUP(B59,'[1]Resumen'!$B$7:$D$156,3,0)</f>
        <v>Unidad</v>
      </c>
      <c r="E59" s="270">
        <f>VLOOKUP(B59,'[1]Resumen'!B$7:E$156,4,FALSE)</f>
        <v>2000</v>
      </c>
      <c r="F59" s="260">
        <f>E59*C59</f>
        <v>16000</v>
      </c>
      <c r="G59" s="60"/>
    </row>
    <row r="60" spans="1:7" ht="15.75">
      <c r="A60" s="64"/>
      <c r="B60" s="60" t="s">
        <v>220</v>
      </c>
      <c r="C60" s="251">
        <v>13</v>
      </c>
      <c r="D60" s="238" t="str">
        <f>VLOOKUP(B60,'[1]Resumen'!$B$7:$D$156,3,0)</f>
        <v>Unidad</v>
      </c>
      <c r="E60" s="270">
        <f>VLOOKUP(B60,'[1]Resumen'!B$7:E$156,4,FALSE)</f>
        <v>1625</v>
      </c>
      <c r="F60" s="260">
        <f>E60*C60</f>
        <v>21125</v>
      </c>
      <c r="G60" s="60"/>
    </row>
    <row r="61" spans="1:7" ht="15.75">
      <c r="A61" s="64"/>
      <c r="B61" s="60" t="s">
        <v>223</v>
      </c>
      <c r="C61" s="251">
        <v>11</v>
      </c>
      <c r="D61" s="238" t="str">
        <f>VLOOKUP(B61,'[1]Resumen'!$B$7:$D$156,3,0)</f>
        <v>Unidad</v>
      </c>
      <c r="E61" s="270">
        <f>VLOOKUP(B61,'[1]Resumen'!B$7:E$156,4,FALSE)</f>
        <v>1272</v>
      </c>
      <c r="F61" s="260">
        <f>E61*C61</f>
        <v>13992</v>
      </c>
      <c r="G61" s="60"/>
    </row>
    <row r="62" spans="1:7" ht="15.75">
      <c r="A62" s="64"/>
      <c r="B62" s="60" t="s">
        <v>224</v>
      </c>
      <c r="C62" s="251">
        <v>2</v>
      </c>
      <c r="D62" s="238" t="str">
        <f>VLOOKUP(B62,'[1]Resumen'!$B$7:$D$156,3,0)</f>
        <v>Unidad</v>
      </c>
      <c r="E62" s="270">
        <f>VLOOKUP(B62,'[1]Resumen'!B$7:E$156,4,FALSE)</f>
        <v>1076</v>
      </c>
      <c r="F62" s="260">
        <f>E62*C62</f>
        <v>2152</v>
      </c>
      <c r="G62" s="60"/>
    </row>
    <row r="63" spans="1:7" ht="15.75">
      <c r="A63" s="64"/>
      <c r="B63" s="60" t="s">
        <v>107</v>
      </c>
      <c r="C63" s="251">
        <v>5</v>
      </c>
      <c r="D63" s="238" t="str">
        <f>VLOOKUP(B63,'[1]Resumen'!$B$7:$D$156,3,0)</f>
        <v>Unidad</v>
      </c>
      <c r="E63" s="270">
        <f>VLOOKUP(B63,'[1]Resumen'!B$7:E$156,4,FALSE)</f>
        <v>800</v>
      </c>
      <c r="F63" s="260">
        <f>E63*C63</f>
        <v>4000</v>
      </c>
      <c r="G63" s="60"/>
    </row>
    <row r="64" spans="1:7" ht="16.5" thickBot="1">
      <c r="A64" s="64"/>
      <c r="B64" s="60"/>
      <c r="C64" s="60"/>
      <c r="D64" s="60"/>
      <c r="E64" s="270" t="s">
        <v>12</v>
      </c>
      <c r="F64" s="279">
        <f>SUM(F59:F63)</f>
        <v>57269</v>
      </c>
      <c r="G64" s="60" t="s">
        <v>20</v>
      </c>
    </row>
    <row r="65" spans="1:7" ht="16.5" thickTop="1">
      <c r="A65" s="245"/>
      <c r="B65" s="239"/>
      <c r="C65" s="598"/>
      <c r="D65" s="598"/>
      <c r="E65" s="598"/>
      <c r="F65" s="265">
        <f>F57+F64</f>
        <v>64498</v>
      </c>
      <c r="G65" s="60"/>
    </row>
    <row r="66" spans="1:6" ht="15.75">
      <c r="A66" s="2"/>
      <c r="B66" s="2"/>
      <c r="C66" s="52"/>
      <c r="D66" s="2"/>
      <c r="E66" s="316" t="s">
        <v>75</v>
      </c>
      <c r="F66" s="316">
        <f>F65+F19+F25+F31</f>
        <v>101178</v>
      </c>
    </row>
    <row r="67" spans="1:6" ht="15.75">
      <c r="A67" s="2"/>
      <c r="B67" s="603" t="s">
        <v>350</v>
      </c>
      <c r="C67" s="603"/>
      <c r="D67" s="603"/>
      <c r="E67" s="270">
        <f>F18+F24+F31</f>
        <v>36680</v>
      </c>
      <c r="F67" s="47"/>
    </row>
    <row r="68" spans="1:6" ht="15.75">
      <c r="A68" s="2"/>
      <c r="B68" s="603" t="s">
        <v>351</v>
      </c>
      <c r="C68" s="603"/>
      <c r="D68" s="603"/>
      <c r="E68" s="270">
        <f>F57+F64</f>
        <v>64498</v>
      </c>
      <c r="F68" s="48"/>
    </row>
    <row r="69" spans="1:6" ht="15.75">
      <c r="A69" s="2"/>
      <c r="B69" s="60"/>
      <c r="C69" s="251"/>
      <c r="D69" s="238"/>
      <c r="E69" s="359">
        <f>SUM(E67:E68)</f>
        <v>101178</v>
      </c>
      <c r="F69" s="48"/>
    </row>
    <row r="70" spans="1:6" ht="15">
      <c r="A70" s="2"/>
      <c r="B70" s="2"/>
      <c r="C70" s="52"/>
      <c r="D70" s="2"/>
      <c r="E70" s="48"/>
      <c r="F70" s="48"/>
    </row>
    <row r="71" spans="1:6" ht="15">
      <c r="A71" s="2"/>
      <c r="B71" s="2"/>
      <c r="C71" s="52"/>
      <c r="D71" s="2"/>
      <c r="E71" s="48"/>
      <c r="F71" s="48"/>
    </row>
    <row r="72" spans="1:6" ht="15">
      <c r="A72" s="2"/>
      <c r="B72" s="2"/>
      <c r="C72" s="52"/>
      <c r="D72" s="2"/>
      <c r="E72" s="48"/>
      <c r="F72" s="48"/>
    </row>
    <row r="73" spans="1:6" ht="15">
      <c r="A73" s="2"/>
      <c r="B73" s="2"/>
      <c r="C73" s="52"/>
      <c r="D73" s="2"/>
      <c r="E73" s="48"/>
      <c r="F73" s="48"/>
    </row>
    <row r="74" spans="1:6" ht="15">
      <c r="A74" s="2"/>
      <c r="B74" s="2"/>
      <c r="C74" s="52"/>
      <c r="D74" s="2"/>
      <c r="E74" s="48"/>
      <c r="F74" s="48"/>
    </row>
    <row r="75" spans="1:6" ht="15">
      <c r="A75" s="2"/>
      <c r="B75" s="2"/>
      <c r="C75" s="52"/>
      <c r="D75" s="2"/>
      <c r="E75" s="48"/>
      <c r="F75" s="48"/>
    </row>
    <row r="76" spans="1:6" ht="15">
      <c r="A76" s="2"/>
      <c r="B76" s="2"/>
      <c r="C76" s="52"/>
      <c r="D76" s="2"/>
      <c r="E76" s="48"/>
      <c r="F76" s="48"/>
    </row>
    <row r="77" spans="1:6" ht="15">
      <c r="A77" s="2"/>
      <c r="B77" s="2"/>
      <c r="C77" s="52"/>
      <c r="D77" s="2"/>
      <c r="E77" s="48"/>
      <c r="F77" s="48"/>
    </row>
    <row r="78" spans="1:6" ht="15">
      <c r="A78" s="2"/>
      <c r="B78" s="2"/>
      <c r="C78" s="52"/>
      <c r="D78" s="2"/>
      <c r="E78" s="48"/>
      <c r="F78" s="48"/>
    </row>
    <row r="79" spans="1:6" ht="15">
      <c r="A79" s="2"/>
      <c r="B79" s="2"/>
      <c r="C79" s="52"/>
      <c r="D79" s="2"/>
      <c r="E79" s="48"/>
      <c r="F79" s="48"/>
    </row>
    <row r="80" spans="1:6" ht="15">
      <c r="A80" s="2"/>
      <c r="B80" s="2"/>
      <c r="C80" s="52"/>
      <c r="D80" s="2"/>
      <c r="E80" s="48"/>
      <c r="F80" s="48"/>
    </row>
    <row r="81" spans="1:6" ht="15">
      <c r="A81" s="2"/>
      <c r="B81" s="2"/>
      <c r="C81" s="52"/>
      <c r="D81" s="2"/>
      <c r="E81" s="48"/>
      <c r="F81" s="48"/>
    </row>
    <row r="82" spans="1:6" ht="15">
      <c r="A82" s="2"/>
      <c r="B82" s="2"/>
      <c r="C82" s="52"/>
      <c r="D82" s="2"/>
      <c r="E82" s="48"/>
      <c r="F82" s="48"/>
    </row>
    <row r="83" spans="1:6" ht="15">
      <c r="A83" s="2"/>
      <c r="B83" s="2"/>
      <c r="C83" s="52"/>
      <c r="D83" s="2"/>
      <c r="E83" s="48"/>
      <c r="F83" s="48"/>
    </row>
    <row r="84" spans="1:6" ht="15">
      <c r="A84" s="2"/>
      <c r="B84" s="2"/>
      <c r="C84" s="52"/>
      <c r="D84" s="2"/>
      <c r="E84" s="48"/>
      <c r="F84" s="48"/>
    </row>
    <row r="85" spans="1:6" ht="15">
      <c r="A85" s="2"/>
      <c r="B85" s="2"/>
      <c r="C85" s="52"/>
      <c r="D85" s="2"/>
      <c r="E85" s="48"/>
      <c r="F85" s="48"/>
    </row>
    <row r="86" spans="1:6" ht="15">
      <c r="A86" s="2"/>
      <c r="B86" s="2"/>
      <c r="C86" s="52"/>
      <c r="D86" s="2"/>
      <c r="E86" s="48"/>
      <c r="F86" s="48"/>
    </row>
    <row r="87" spans="1:6" ht="15">
      <c r="A87" s="2"/>
      <c r="B87" s="2"/>
      <c r="C87" s="52"/>
      <c r="D87" s="2"/>
      <c r="E87" s="48"/>
      <c r="F87" s="48"/>
    </row>
    <row r="88" spans="1:6" ht="15">
      <c r="A88" s="2"/>
      <c r="B88" s="2"/>
      <c r="C88" s="52"/>
      <c r="D88" s="2"/>
      <c r="E88" s="48"/>
      <c r="F88" s="48"/>
    </row>
    <row r="89" spans="1:6" ht="15">
      <c r="A89" s="2"/>
      <c r="B89" s="2"/>
      <c r="C89" s="52"/>
      <c r="D89" s="2"/>
      <c r="E89" s="48"/>
      <c r="F89" s="48"/>
    </row>
    <row r="90" spans="1:6" ht="15">
      <c r="A90" s="2"/>
      <c r="B90" s="2"/>
      <c r="C90" s="52"/>
      <c r="D90" s="2"/>
      <c r="E90" s="48"/>
      <c r="F90" s="48"/>
    </row>
    <row r="91" spans="1:6" ht="15">
      <c r="A91" s="2"/>
      <c r="B91" s="2"/>
      <c r="C91" s="52"/>
      <c r="D91" s="2"/>
      <c r="E91" s="48"/>
      <c r="F91" s="48"/>
    </row>
    <row r="92" spans="1:6" ht="15">
      <c r="A92" s="2"/>
      <c r="B92" s="2"/>
      <c r="C92" s="52"/>
      <c r="D92" s="2"/>
      <c r="E92" s="48"/>
      <c r="F92" s="48"/>
    </row>
    <row r="93" spans="1:6" ht="15">
      <c r="A93" s="2"/>
      <c r="B93" s="2"/>
      <c r="C93" s="52"/>
      <c r="D93" s="2"/>
      <c r="E93" s="48"/>
      <c r="F93" s="48"/>
    </row>
    <row r="94" spans="1:6" ht="15">
      <c r="A94" s="2"/>
      <c r="B94" s="2"/>
      <c r="C94" s="52"/>
      <c r="D94" s="2"/>
      <c r="E94" s="48"/>
      <c r="F94" s="48"/>
    </row>
    <row r="95" spans="1:6" ht="15">
      <c r="A95" s="2"/>
      <c r="B95" s="2"/>
      <c r="C95" s="52"/>
      <c r="D95" s="2"/>
      <c r="E95" s="48"/>
      <c r="F95" s="48"/>
    </row>
    <row r="96" spans="1:6" ht="15">
      <c r="A96" s="2"/>
      <c r="B96" s="2"/>
      <c r="C96" s="52"/>
      <c r="D96" s="2"/>
      <c r="E96" s="48"/>
      <c r="F96" s="48"/>
    </row>
    <row r="97" spans="1:6" ht="15">
      <c r="A97" s="2"/>
      <c r="B97" s="2"/>
      <c r="C97" s="52"/>
      <c r="D97" s="2"/>
      <c r="E97" s="48"/>
      <c r="F97" s="48"/>
    </row>
    <row r="98" spans="1:6" ht="15">
      <c r="A98" s="2"/>
      <c r="B98" s="2"/>
      <c r="C98" s="52"/>
      <c r="D98" s="2"/>
      <c r="E98" s="48"/>
      <c r="F98" s="48"/>
    </row>
    <row r="99" spans="1:6" ht="15">
      <c r="A99" s="2"/>
      <c r="B99" s="2"/>
      <c r="C99" s="52"/>
      <c r="D99" s="2"/>
      <c r="E99" s="48"/>
      <c r="F99" s="48"/>
    </row>
    <row r="100" spans="1:6" ht="15">
      <c r="A100" s="2"/>
      <c r="B100" s="2"/>
      <c r="C100" s="52"/>
      <c r="D100" s="2"/>
      <c r="E100" s="48"/>
      <c r="F100" s="48"/>
    </row>
    <row r="101" spans="1:6" ht="15">
      <c r="A101" s="2"/>
      <c r="B101" s="2"/>
      <c r="C101" s="52"/>
      <c r="D101" s="2"/>
      <c r="E101" s="48"/>
      <c r="F101" s="48"/>
    </row>
    <row r="102" spans="1:6" ht="15">
      <c r="A102" s="2"/>
      <c r="B102" s="2"/>
      <c r="C102" s="52"/>
      <c r="D102" s="2"/>
      <c r="E102" s="48"/>
      <c r="F102" s="48"/>
    </row>
    <row r="103" spans="1:6" ht="15">
      <c r="A103" s="2"/>
      <c r="B103" s="2"/>
      <c r="C103" s="52"/>
      <c r="D103" s="2"/>
      <c r="E103" s="48"/>
      <c r="F103" s="48"/>
    </row>
    <row r="104" spans="1:6" ht="15">
      <c r="A104" s="2"/>
      <c r="B104" s="2"/>
      <c r="C104" s="52"/>
      <c r="D104" s="2"/>
      <c r="E104" s="48"/>
      <c r="F104" s="48"/>
    </row>
    <row r="105" spans="1:6" ht="15">
      <c r="A105" s="2"/>
      <c r="B105" s="2"/>
      <c r="C105" s="52"/>
      <c r="D105" s="2"/>
      <c r="E105" s="48"/>
      <c r="F105" s="48"/>
    </row>
    <row r="106" spans="1:6" ht="15">
      <c r="A106" s="2"/>
      <c r="B106" s="2"/>
      <c r="C106" s="52"/>
      <c r="D106" s="2"/>
      <c r="E106" s="48"/>
      <c r="F106" s="48"/>
    </row>
    <row r="107" spans="1:6" ht="15">
      <c r="A107" s="2"/>
      <c r="B107" s="2"/>
      <c r="C107" s="52"/>
      <c r="D107" s="2"/>
      <c r="E107" s="48"/>
      <c r="F107" s="48"/>
    </row>
    <row r="108" spans="1:6" ht="15">
      <c r="A108" s="2"/>
      <c r="B108" s="2"/>
      <c r="C108" s="52"/>
      <c r="D108" s="2"/>
      <c r="E108" s="48"/>
      <c r="F108" s="48"/>
    </row>
    <row r="109" spans="1:6" ht="15">
      <c r="A109" s="2"/>
      <c r="B109" s="2"/>
      <c r="C109" s="52"/>
      <c r="D109" s="2"/>
      <c r="E109" s="48"/>
      <c r="F109" s="48"/>
    </row>
    <row r="110" spans="1:6" ht="15">
      <c r="A110" s="2"/>
      <c r="B110" s="2"/>
      <c r="C110" s="52"/>
      <c r="D110" s="2"/>
      <c r="E110" s="48"/>
      <c r="F110" s="48"/>
    </row>
    <row r="111" spans="1:6" ht="15">
      <c r="A111" s="2"/>
      <c r="B111" s="2"/>
      <c r="C111" s="52"/>
      <c r="D111" s="2"/>
      <c r="E111" s="48"/>
      <c r="F111" s="48"/>
    </row>
    <row r="112" spans="1:6" ht="15">
      <c r="A112" s="2"/>
      <c r="B112" s="2"/>
      <c r="C112" s="52"/>
      <c r="D112" s="2"/>
      <c r="E112" s="48"/>
      <c r="F112" s="48"/>
    </row>
    <row r="113" spans="1:6" ht="15">
      <c r="A113" s="2"/>
      <c r="B113" s="2"/>
      <c r="C113" s="52"/>
      <c r="D113" s="2"/>
      <c r="E113" s="48"/>
      <c r="F113" s="48"/>
    </row>
    <row r="114" spans="1:6" ht="15">
      <c r="A114" s="2"/>
      <c r="B114" s="2"/>
      <c r="C114" s="52"/>
      <c r="D114" s="2"/>
      <c r="E114" s="48"/>
      <c r="F114" s="48"/>
    </row>
    <row r="115" spans="1:6" ht="15">
      <c r="A115" s="2"/>
      <c r="B115" s="2"/>
      <c r="C115" s="52"/>
      <c r="D115" s="2"/>
      <c r="E115" s="48"/>
      <c r="F115" s="48"/>
    </row>
    <row r="116" spans="1:6" ht="15">
      <c r="A116" s="2"/>
      <c r="B116" s="2"/>
      <c r="C116" s="52"/>
      <c r="D116" s="2"/>
      <c r="E116" s="48"/>
      <c r="F116" s="48"/>
    </row>
    <row r="117" spans="1:6" ht="15">
      <c r="A117" s="2"/>
      <c r="B117" s="2"/>
      <c r="C117" s="52"/>
      <c r="D117" s="2"/>
      <c r="E117" s="48"/>
      <c r="F117" s="48"/>
    </row>
    <row r="118" spans="1:6" ht="15">
      <c r="A118" s="2"/>
      <c r="B118" s="2"/>
      <c r="C118" s="52"/>
      <c r="D118" s="2"/>
      <c r="E118" s="48"/>
      <c r="F118" s="48"/>
    </row>
    <row r="119" spans="1:6" ht="15">
      <c r="A119" s="2"/>
      <c r="B119" s="2"/>
      <c r="C119" s="52"/>
      <c r="D119" s="2"/>
      <c r="E119" s="48"/>
      <c r="F119" s="48"/>
    </row>
    <row r="120" spans="1:6" ht="15">
      <c r="A120" s="2"/>
      <c r="B120" s="2"/>
      <c r="C120" s="52"/>
      <c r="D120" s="2"/>
      <c r="E120" s="48"/>
      <c r="F120" s="48"/>
    </row>
    <row r="121" spans="1:6" ht="15">
      <c r="A121" s="2"/>
      <c r="B121" s="2"/>
      <c r="C121" s="52"/>
      <c r="D121" s="2"/>
      <c r="E121" s="48"/>
      <c r="F121" s="48"/>
    </row>
    <row r="122" spans="1:6" ht="15">
      <c r="A122" s="2"/>
      <c r="B122" s="2"/>
      <c r="C122" s="52"/>
      <c r="D122" s="2"/>
      <c r="E122" s="48"/>
      <c r="F122" s="48"/>
    </row>
    <row r="123" spans="1:6" ht="15">
      <c r="A123" s="2"/>
      <c r="B123" s="2"/>
      <c r="C123" s="52"/>
      <c r="D123" s="2"/>
      <c r="E123" s="48"/>
      <c r="F123" s="48"/>
    </row>
    <row r="124" spans="1:6" ht="15">
      <c r="A124" s="2"/>
      <c r="B124" s="2"/>
      <c r="C124" s="52"/>
      <c r="D124" s="2"/>
      <c r="E124" s="48"/>
      <c r="F124" s="48"/>
    </row>
    <row r="125" spans="1:6" ht="15">
      <c r="A125" s="2"/>
      <c r="B125" s="2"/>
      <c r="C125" s="52"/>
      <c r="D125" s="2"/>
      <c r="E125" s="48"/>
      <c r="F125" s="48"/>
    </row>
    <row r="126" spans="1:6" ht="15">
      <c r="A126" s="2"/>
      <c r="B126" s="2"/>
      <c r="C126" s="52"/>
      <c r="D126" s="2"/>
      <c r="E126" s="48"/>
      <c r="F126" s="48"/>
    </row>
    <row r="127" spans="1:6" ht="15">
      <c r="A127" s="2"/>
      <c r="B127" s="2"/>
      <c r="C127" s="52"/>
      <c r="D127" s="2"/>
      <c r="E127" s="48"/>
      <c r="F127" s="48"/>
    </row>
    <row r="128" spans="1:6" ht="15">
      <c r="A128" s="2"/>
      <c r="B128" s="2"/>
      <c r="C128" s="52"/>
      <c r="D128" s="2"/>
      <c r="E128" s="48"/>
      <c r="F128" s="48"/>
    </row>
    <row r="129" spans="1:6" ht="15">
      <c r="A129" s="2"/>
      <c r="B129" s="2"/>
      <c r="C129" s="52"/>
      <c r="D129" s="2"/>
      <c r="E129" s="48"/>
      <c r="F129" s="48"/>
    </row>
    <row r="130" spans="1:6" ht="15">
      <c r="A130" s="2"/>
      <c r="B130" s="2"/>
      <c r="C130" s="52"/>
      <c r="D130" s="2"/>
      <c r="E130" s="48"/>
      <c r="F130" s="48"/>
    </row>
    <row r="131" spans="1:6" ht="15">
      <c r="A131" s="2"/>
      <c r="B131" s="2"/>
      <c r="C131" s="52"/>
      <c r="D131" s="2"/>
      <c r="E131" s="48"/>
      <c r="F131" s="48"/>
    </row>
    <row r="132" spans="1:6" ht="15">
      <c r="A132" s="2"/>
      <c r="B132" s="2"/>
      <c r="C132" s="52"/>
      <c r="D132" s="2"/>
      <c r="E132" s="48"/>
      <c r="F132" s="48"/>
    </row>
    <row r="133" spans="1:6" ht="15">
      <c r="A133" s="2"/>
      <c r="B133" s="2"/>
      <c r="C133" s="52"/>
      <c r="D133" s="2"/>
      <c r="E133" s="48"/>
      <c r="F133" s="48"/>
    </row>
    <row r="134" spans="1:6" ht="15">
      <c r="A134" s="2"/>
      <c r="B134" s="2"/>
      <c r="C134" s="52"/>
      <c r="D134" s="2"/>
      <c r="E134" s="48"/>
      <c r="F134" s="48"/>
    </row>
  </sheetData>
  <sheetProtection/>
  <mergeCells count="7">
    <mergeCell ref="C65:E65"/>
    <mergeCell ref="B67:D67"/>
    <mergeCell ref="B68:D68"/>
    <mergeCell ref="A5:F5"/>
    <mergeCell ref="A6:F6"/>
    <mergeCell ref="B18:E18"/>
    <mergeCell ref="B25:E25"/>
  </mergeCells>
  <printOptions horizontalCentered="1" verticalCentered="1"/>
  <pageMargins left="0.5905511811023623" right="0.23" top="0.66" bottom="0.83" header="0.3937007874015748" footer="0.56"/>
  <pageSetup fitToHeight="6" horizontalDpi="180" verticalDpi="180" orientation="portrait" scale="65" r:id="rId1"/>
  <headerFooter alignWithMargins="0">
    <oddHeader>&amp;LProyecto de Agua Potable.
Estudio de Factibilidad 2,008&amp;RComunidad  Mongallo/Negrowas
Municipio Siuna RAAN</oddHeader>
    <oddFooter>&amp;L&amp;F
&amp;D&amp;C&amp;P&amp;RAPLV - Rio Blanco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H139"/>
  <sheetViews>
    <sheetView workbookViewId="0" topLeftCell="A52">
      <selection activeCell="A7" sqref="A7"/>
    </sheetView>
  </sheetViews>
  <sheetFormatPr defaultColWidth="11.421875" defaultRowHeight="12.75"/>
  <cols>
    <col min="1" max="1" width="7.140625" style="18" customWidth="1"/>
    <col min="2" max="2" width="54.8515625" style="18" customWidth="1"/>
    <col min="3" max="3" width="15.00390625" style="61" customWidth="1"/>
    <col min="4" max="4" width="12.421875" style="18" customWidth="1"/>
    <col min="5" max="5" width="14.421875" style="325" customWidth="1"/>
    <col min="6" max="6" width="17.57421875" style="325" customWidth="1"/>
    <col min="7" max="7" width="17.28125" style="2" customWidth="1"/>
    <col min="8" max="8" width="14.00390625" style="19" bestFit="1" customWidth="1"/>
    <col min="9" max="16384" width="11.421875" style="18" customWidth="1"/>
  </cols>
  <sheetData>
    <row r="1" spans="1:5" ht="15.75">
      <c r="A1" s="150" t="s">
        <v>278</v>
      </c>
      <c r="B1" s="150"/>
      <c r="C1" s="150"/>
      <c r="D1" s="150"/>
      <c r="E1" s="324"/>
    </row>
    <row r="2" spans="1:5" ht="15.75">
      <c r="A2" s="150" t="s">
        <v>283</v>
      </c>
      <c r="B2" s="150"/>
      <c r="C2" s="150"/>
      <c r="D2" s="150"/>
      <c r="E2" s="324"/>
    </row>
    <row r="3" spans="1:5" ht="15.75">
      <c r="A3" s="150" t="s">
        <v>284</v>
      </c>
      <c r="B3" s="150"/>
      <c r="C3" s="150"/>
      <c r="D3" s="150"/>
      <c r="E3" s="324"/>
    </row>
    <row r="5" spans="1:6" ht="15.75">
      <c r="A5" s="601" t="s">
        <v>297</v>
      </c>
      <c r="B5" s="601"/>
      <c r="C5" s="601"/>
      <c r="D5" s="601"/>
      <c r="E5" s="601"/>
      <c r="F5" s="601"/>
    </row>
    <row r="6" spans="1:6" ht="15.75">
      <c r="A6" s="601" t="s">
        <v>376</v>
      </c>
      <c r="B6" s="601"/>
      <c r="C6" s="601"/>
      <c r="D6" s="601"/>
      <c r="E6" s="601"/>
      <c r="F6" s="601"/>
    </row>
    <row r="7" spans="1:7" ht="15.75">
      <c r="A7" s="74"/>
      <c r="B7" s="74"/>
      <c r="C7" s="50"/>
      <c r="D7" s="74"/>
      <c r="E7" s="326"/>
      <c r="F7" s="326"/>
      <c r="G7" s="9"/>
    </row>
    <row r="8" spans="1:8" s="2" customFormat="1" ht="25.5" customHeight="1">
      <c r="A8" s="44" t="s">
        <v>0</v>
      </c>
      <c r="B8" s="44" t="s">
        <v>1</v>
      </c>
      <c r="C8" s="50" t="s">
        <v>2</v>
      </c>
      <c r="D8" s="74" t="s">
        <v>3</v>
      </c>
      <c r="E8" s="605" t="s">
        <v>4</v>
      </c>
      <c r="F8" s="326" t="s">
        <v>5</v>
      </c>
      <c r="H8" s="48"/>
    </row>
    <row r="9" spans="1:8" s="2" customFormat="1" ht="15.75">
      <c r="A9" s="602" t="s">
        <v>333</v>
      </c>
      <c r="B9" s="602"/>
      <c r="C9" s="178">
        <v>2</v>
      </c>
      <c r="D9" s="74"/>
      <c r="E9" s="605"/>
      <c r="F9" s="326" t="s">
        <v>296</v>
      </c>
      <c r="H9" s="48"/>
    </row>
    <row r="10" spans="1:7" ht="15.75">
      <c r="A10" s="64" t="s">
        <v>46</v>
      </c>
      <c r="B10" s="60"/>
      <c r="C10" s="62"/>
      <c r="D10" s="60"/>
      <c r="E10" s="327" t="s">
        <v>8</v>
      </c>
      <c r="F10" s="327"/>
      <c r="G10" s="60"/>
    </row>
    <row r="11" spans="1:7" ht="15">
      <c r="A11" s="60"/>
      <c r="B11" s="68" t="s">
        <v>115</v>
      </c>
      <c r="C11" s="251">
        <v>4</v>
      </c>
      <c r="D11" s="62" t="str">
        <f>VLOOKUP(B11,'[1]Resumen'!$B$7:$D$156,3,0)</f>
        <v>Unidad</v>
      </c>
      <c r="E11" s="328">
        <f>VLOOKUP(B11,'[1]Resumen'!B$7:E$156,4,FALSE)</f>
        <v>88.3</v>
      </c>
      <c r="F11" s="328">
        <f>E11*C11</f>
        <v>353.2</v>
      </c>
      <c r="G11" s="60"/>
    </row>
    <row r="12" spans="1:7" ht="15">
      <c r="A12" s="60"/>
      <c r="B12" s="68" t="s">
        <v>116</v>
      </c>
      <c r="C12" s="62">
        <v>3</v>
      </c>
      <c r="D12" s="62" t="str">
        <f>VLOOKUP(B12,'[1]Resumen'!$B$7:$D$156,3,0)</f>
        <v>Unidad</v>
      </c>
      <c r="E12" s="328">
        <f>VLOOKUP(B12,'[1]Resumen'!B$7:E$156,4,FALSE)</f>
        <v>46.17</v>
      </c>
      <c r="F12" s="328">
        <f>E12*C12</f>
        <v>138.51</v>
      </c>
      <c r="G12" s="60"/>
    </row>
    <row r="13" spans="1:7" ht="15">
      <c r="A13" s="60"/>
      <c r="B13" s="60" t="s">
        <v>27</v>
      </c>
      <c r="C13" s="62">
        <v>1</v>
      </c>
      <c r="D13" s="62" t="str">
        <f>VLOOKUP(B13,'[1]Resumen'!$B$7:$D$156,3,0)</f>
        <v>Unidad</v>
      </c>
      <c r="E13" s="328">
        <f>VLOOKUP(B13,'[1]Resumen'!B$7:E$156,4,FALSE)</f>
        <v>107.4</v>
      </c>
      <c r="F13" s="328">
        <f>E13*C13</f>
        <v>107.4</v>
      </c>
      <c r="G13" s="60"/>
    </row>
    <row r="14" spans="1:7" ht="15.75">
      <c r="A14" s="60"/>
      <c r="B14" s="60"/>
      <c r="C14" s="251"/>
      <c r="D14" s="48"/>
      <c r="E14" s="329" t="s">
        <v>12</v>
      </c>
      <c r="F14" s="330">
        <f>SUM(F11:F13)</f>
        <v>599.11</v>
      </c>
      <c r="G14" s="60" t="s">
        <v>22</v>
      </c>
    </row>
    <row r="15" spans="1:7" ht="15.75">
      <c r="A15" s="64" t="s">
        <v>23</v>
      </c>
      <c r="B15" s="60"/>
      <c r="C15" s="62"/>
      <c r="D15" s="48"/>
      <c r="E15" s="331"/>
      <c r="F15" s="327"/>
      <c r="G15" s="60"/>
    </row>
    <row r="16" spans="1:7" ht="15">
      <c r="A16" s="60"/>
      <c r="B16" s="60" t="s">
        <v>203</v>
      </c>
      <c r="C16" s="62">
        <v>6</v>
      </c>
      <c r="D16" s="62" t="str">
        <f>VLOOKUP(B16,'[1]Resumen'!$B$7:$D$156,3,0)</f>
        <v>Unidad</v>
      </c>
      <c r="E16" s="331">
        <f>'[1]detalle por obra'!$E$58</f>
        <v>296</v>
      </c>
      <c r="F16" s="328">
        <f>E16*C16</f>
        <v>1776</v>
      </c>
      <c r="G16" s="60"/>
    </row>
    <row r="17" spans="1:7" ht="15.75">
      <c r="A17" s="68"/>
      <c r="B17" s="68"/>
      <c r="C17" s="311"/>
      <c r="D17" s="311"/>
      <c r="E17" s="332"/>
      <c r="F17" s="330">
        <f>SUM(F16)</f>
        <v>1776</v>
      </c>
      <c r="G17" s="60" t="s">
        <v>20</v>
      </c>
    </row>
    <row r="18" spans="1:7" ht="15.75">
      <c r="A18" s="239"/>
      <c r="B18" s="239"/>
      <c r="C18" s="606" t="s">
        <v>290</v>
      </c>
      <c r="D18" s="606"/>
      <c r="E18" s="606"/>
      <c r="F18" s="333">
        <f>SUM(F14+F17)</f>
        <v>2375.11</v>
      </c>
      <c r="G18" s="60"/>
    </row>
    <row r="19" spans="1:8" s="9" customFormat="1" ht="16.5">
      <c r="A19" s="67" t="s">
        <v>161</v>
      </c>
      <c r="B19" s="69"/>
      <c r="C19" s="187">
        <v>4</v>
      </c>
      <c r="D19" s="246" t="s">
        <v>7</v>
      </c>
      <c r="E19" s="334"/>
      <c r="F19" s="335"/>
      <c r="G19" s="68"/>
      <c r="H19" s="180"/>
    </row>
    <row r="20" spans="1:8" s="9" customFormat="1" ht="16.5">
      <c r="A20" s="68" t="s">
        <v>6</v>
      </c>
      <c r="B20" s="68"/>
      <c r="C20" s="45"/>
      <c r="D20" s="68"/>
      <c r="E20" s="334"/>
      <c r="F20" s="335"/>
      <c r="G20" s="68"/>
      <c r="H20" s="180"/>
    </row>
    <row r="21" spans="1:8" s="9" customFormat="1" ht="16.5">
      <c r="A21" s="68"/>
      <c r="B21" s="68" t="s">
        <v>334</v>
      </c>
      <c r="C21" s="251">
        <v>5</v>
      </c>
      <c r="D21" s="68" t="s">
        <v>335</v>
      </c>
      <c r="E21" s="336">
        <v>180</v>
      </c>
      <c r="F21" s="337">
        <f>SUM(C21*E21)</f>
        <v>900</v>
      </c>
      <c r="G21" s="68"/>
      <c r="H21" s="180"/>
    </row>
    <row r="22" spans="1:8" s="9" customFormat="1" ht="16.5">
      <c r="A22" s="68"/>
      <c r="B22" s="68" t="s">
        <v>150</v>
      </c>
      <c r="C22" s="251">
        <v>1</v>
      </c>
      <c r="D22" s="238" t="str">
        <f>VLOOKUP(B22,'[1]Resumen'!$B$7:$D$156,3,0)</f>
        <v>m3</v>
      </c>
      <c r="E22" s="329">
        <f>VLOOKUP(B22,'[1]Resumen'!B$7:E$156,4,FALSE)</f>
        <v>700</v>
      </c>
      <c r="F22" s="328">
        <f>E22*C22</f>
        <v>700</v>
      </c>
      <c r="G22" s="68"/>
      <c r="H22" s="180"/>
    </row>
    <row r="23" spans="1:8" s="9" customFormat="1" ht="16.5">
      <c r="A23" s="68"/>
      <c r="B23" s="68" t="s">
        <v>149</v>
      </c>
      <c r="C23" s="251">
        <v>200</v>
      </c>
      <c r="D23" s="238" t="str">
        <f>VLOOKUP(B23,'[1]Resumen'!$B$7:$D$156,3,0)</f>
        <v>Unidad</v>
      </c>
      <c r="E23" s="329">
        <f>VLOOKUP(B23,'[1]Resumen'!B$7:E$156,4,FALSE)</f>
        <v>1.6</v>
      </c>
      <c r="F23" s="328">
        <f>E23*C23</f>
        <v>320</v>
      </c>
      <c r="G23" s="68"/>
      <c r="H23" s="180"/>
    </row>
    <row r="24" spans="1:8" s="9" customFormat="1" ht="16.5">
      <c r="A24" s="68"/>
      <c r="B24" s="60" t="s">
        <v>10</v>
      </c>
      <c r="C24" s="251">
        <v>1</v>
      </c>
      <c r="D24" s="238" t="str">
        <f>VLOOKUP(B24,'[1]Resumen'!$B$7:$D$156,3,0)</f>
        <v>Unidad</v>
      </c>
      <c r="E24" s="329">
        <f>VLOOKUP(B24,'[1]Resumen'!B$7:E$156,4,FALSE)</f>
        <v>950</v>
      </c>
      <c r="F24" s="328">
        <f>E24*C24</f>
        <v>950</v>
      </c>
      <c r="G24" s="68"/>
      <c r="H24" s="180"/>
    </row>
    <row r="25" spans="1:8" s="9" customFormat="1" ht="16.5">
      <c r="A25" s="68"/>
      <c r="B25" s="68" t="s">
        <v>11</v>
      </c>
      <c r="C25" s="251">
        <v>2</v>
      </c>
      <c r="D25" s="238" t="str">
        <f>VLOOKUP(B25,'[1]Resumen'!$B$7:$D$156,3,0)</f>
        <v>Unidad</v>
      </c>
      <c r="E25" s="329">
        <f>VLOOKUP(B25,'[1]Resumen'!B$7:E$156,4,FALSE)</f>
        <v>95</v>
      </c>
      <c r="F25" s="328">
        <f>E25*C25</f>
        <v>190</v>
      </c>
      <c r="G25" s="68"/>
      <c r="H25" s="180"/>
    </row>
    <row r="26" spans="1:8" s="9" customFormat="1" ht="16.5">
      <c r="A26" s="68"/>
      <c r="B26" s="68" t="s">
        <v>9</v>
      </c>
      <c r="C26" s="251">
        <v>5</v>
      </c>
      <c r="D26" s="238" t="str">
        <f>VLOOKUP(B26,'[1]Resumen'!$B$7:$D$156,3,0)</f>
        <v>lbs</v>
      </c>
      <c r="E26" s="329">
        <f>VLOOKUP(B26,'[1]Resumen'!B$7:E$156,4,FALSE)</f>
        <v>20</v>
      </c>
      <c r="F26" s="328">
        <f>E26*C26</f>
        <v>100</v>
      </c>
      <c r="G26" s="68"/>
      <c r="H26" s="180"/>
    </row>
    <row r="27" spans="1:8" s="9" customFormat="1" ht="17.25" thickBot="1">
      <c r="A27" s="68"/>
      <c r="B27" s="68"/>
      <c r="C27" s="68"/>
      <c r="D27" s="68"/>
      <c r="E27" s="336" t="s">
        <v>12</v>
      </c>
      <c r="F27" s="338">
        <f>SUM(F21:F26)</f>
        <v>3160</v>
      </c>
      <c r="G27" s="68" t="s">
        <v>13</v>
      </c>
      <c r="H27" s="180"/>
    </row>
    <row r="28" spans="1:7" ht="16.5" thickTop="1">
      <c r="A28" s="239"/>
      <c r="B28" s="598" t="s">
        <v>293</v>
      </c>
      <c r="C28" s="598"/>
      <c r="D28" s="598"/>
      <c r="E28" s="598"/>
      <c r="F28" s="339">
        <f>SUMIF(E19:E27,"Subtotal",F19:F27)</f>
        <v>3160</v>
      </c>
      <c r="G28" s="68"/>
    </row>
    <row r="29" spans="1:8" s="73" customFormat="1" ht="18.75">
      <c r="A29" s="246" t="s">
        <v>294</v>
      </c>
      <c r="B29" s="68"/>
      <c r="C29" s="187">
        <v>1</v>
      </c>
      <c r="D29" s="246" t="s">
        <v>7</v>
      </c>
      <c r="E29" s="337"/>
      <c r="F29" s="337"/>
      <c r="G29" s="68"/>
      <c r="H29" s="78"/>
    </row>
    <row r="30" spans="1:7" ht="15">
      <c r="A30" s="68" t="s">
        <v>28</v>
      </c>
      <c r="B30" s="68"/>
      <c r="C30" s="45"/>
      <c r="D30" s="68"/>
      <c r="E30" s="337"/>
      <c r="F30" s="337"/>
      <c r="G30" s="68"/>
    </row>
    <row r="31" spans="1:7" ht="15">
      <c r="A31" s="68"/>
      <c r="B31" s="68" t="s">
        <v>153</v>
      </c>
      <c r="C31" s="251">
        <v>5</v>
      </c>
      <c r="D31" s="238" t="str">
        <f>VLOOKUP(B31,'[1]Resumen'!$B$7:$D$156,3,0)</f>
        <v>lbs</v>
      </c>
      <c r="E31" s="329">
        <f>VLOOKUP(B31,'[1]Resumen'!B$7:E$156,4,FALSE)</f>
        <v>20</v>
      </c>
      <c r="F31" s="328">
        <f aca="true" t="shared" si="0" ref="F31:F37">E31*C31</f>
        <v>100</v>
      </c>
      <c r="G31" s="68"/>
    </row>
    <row r="32" spans="1:7" ht="15">
      <c r="A32" s="68"/>
      <c r="B32" s="68" t="s">
        <v>11</v>
      </c>
      <c r="C32" s="251">
        <v>2</v>
      </c>
      <c r="D32" s="238" t="str">
        <f>VLOOKUP(B32,'[1]Resumen'!$B$7:$D$156,3,0)</f>
        <v>Unidad</v>
      </c>
      <c r="E32" s="329">
        <v>60</v>
      </c>
      <c r="F32" s="328">
        <f t="shared" si="0"/>
        <v>120</v>
      </c>
      <c r="G32" s="68"/>
    </row>
    <row r="33" spans="1:7" ht="15">
      <c r="A33" s="68"/>
      <c r="B33" s="60" t="s">
        <v>208</v>
      </c>
      <c r="C33" s="251">
        <v>1</v>
      </c>
      <c r="D33" s="238" t="str">
        <f>VLOOKUP(B33,'[1]Resumen'!$B$7:$D$156,3,0)</f>
        <v>Cubeta</v>
      </c>
      <c r="E33" s="329">
        <f>VLOOKUP(B33,'[1]Resumen'!B$7:E$156,4,FALSE)</f>
        <v>1080</v>
      </c>
      <c r="F33" s="328">
        <f t="shared" si="0"/>
        <v>1080</v>
      </c>
      <c r="G33" s="68"/>
    </row>
    <row r="34" spans="1:7" ht="15">
      <c r="A34" s="68"/>
      <c r="B34" s="60" t="s">
        <v>262</v>
      </c>
      <c r="C34" s="251">
        <v>3</v>
      </c>
      <c r="D34" s="238" t="s">
        <v>110</v>
      </c>
      <c r="E34" s="329">
        <v>200</v>
      </c>
      <c r="F34" s="328">
        <f t="shared" si="0"/>
        <v>600</v>
      </c>
      <c r="G34" s="68"/>
    </row>
    <row r="35" spans="1:7" ht="15">
      <c r="A35" s="68"/>
      <c r="B35" s="60" t="s">
        <v>144</v>
      </c>
      <c r="C35" s="251">
        <v>500</v>
      </c>
      <c r="D35" s="238" t="str">
        <f>VLOOKUP(B35,'[1]Resumen'!$B$7:$D$156,3,0)</f>
        <v>Unidad</v>
      </c>
      <c r="E35" s="329">
        <f>VLOOKUP(B35,'[1]Resumen'!B$7:E$156,4,FALSE)</f>
        <v>7</v>
      </c>
      <c r="F35" s="328">
        <f t="shared" si="0"/>
        <v>3500</v>
      </c>
      <c r="G35" s="68"/>
    </row>
    <row r="36" spans="1:7" ht="15">
      <c r="A36" s="68"/>
      <c r="B36" s="68" t="s">
        <v>30</v>
      </c>
      <c r="C36" s="251">
        <v>1</v>
      </c>
      <c r="D36" s="238" t="str">
        <f>VLOOKUP(B36,'[1]Resumen'!$B$7:$D$156,3,0)</f>
        <v>Rollo</v>
      </c>
      <c r="E36" s="329">
        <f>VLOOKUP(B36,'[1]Resumen'!B$7:E$156,4,FALSE)</f>
        <v>1200</v>
      </c>
      <c r="F36" s="328">
        <f t="shared" si="0"/>
        <v>1200</v>
      </c>
      <c r="G36" s="68"/>
    </row>
    <row r="37" spans="1:7" ht="15">
      <c r="A37" s="68"/>
      <c r="B37" s="68" t="s">
        <v>31</v>
      </c>
      <c r="C37" s="251">
        <v>2</v>
      </c>
      <c r="D37" s="238" t="str">
        <f>VLOOKUP(B37,'[1]Resumen'!$B$7:$D$156,3,0)</f>
        <v>lbs</v>
      </c>
      <c r="E37" s="329">
        <f>VLOOKUP(B37,'[1]Resumen'!B$7:E$156,4,FALSE)</f>
        <v>20</v>
      </c>
      <c r="F37" s="328">
        <f t="shared" si="0"/>
        <v>40</v>
      </c>
      <c r="G37" s="68"/>
    </row>
    <row r="38" spans="1:7" ht="15.75">
      <c r="A38" s="68"/>
      <c r="B38" s="68"/>
      <c r="C38" s="251"/>
      <c r="D38" s="238"/>
      <c r="E38" s="329"/>
      <c r="F38" s="340">
        <f>SUM(F31:F37)</f>
        <v>6640</v>
      </c>
      <c r="G38" s="68" t="s">
        <v>13</v>
      </c>
    </row>
    <row r="39" spans="1:7" ht="15.75">
      <c r="A39" s="245"/>
      <c r="B39" s="245"/>
      <c r="C39" s="253"/>
      <c r="D39" s="245"/>
      <c r="E39" s="341" t="s">
        <v>263</v>
      </c>
      <c r="F39" s="339">
        <f>SUM(F38)</f>
        <v>6640</v>
      </c>
      <c r="G39" s="68"/>
    </row>
    <row r="40" spans="1:7" ht="15.75">
      <c r="A40" s="245" t="s">
        <v>58</v>
      </c>
      <c r="B40" s="245"/>
      <c r="C40" s="253"/>
      <c r="D40" s="245"/>
      <c r="E40" s="341"/>
      <c r="F40" s="339"/>
      <c r="G40" s="68"/>
    </row>
    <row r="41" spans="1:7" ht="15.75">
      <c r="A41" s="246" t="s">
        <v>32</v>
      </c>
      <c r="B41" s="68"/>
      <c r="C41" s="45"/>
      <c r="D41" s="68"/>
      <c r="E41" s="337"/>
      <c r="G41" s="68"/>
    </row>
    <row r="42" spans="1:7" ht="15">
      <c r="A42" s="68"/>
      <c r="B42" s="68" t="s">
        <v>107</v>
      </c>
      <c r="C42" s="251">
        <v>0.5</v>
      </c>
      <c r="D42" s="238" t="str">
        <f>VLOOKUP(B42,'[1]Resumen'!$B$7:$D$156,3,0)</f>
        <v>Unidad</v>
      </c>
      <c r="E42" s="329">
        <f>VLOOKUP(B42,'[1]Resumen'!B$7:E$156,4,FALSE)</f>
        <v>800</v>
      </c>
      <c r="F42" s="328">
        <f>E42*C42</f>
        <v>400</v>
      </c>
      <c r="G42" s="68"/>
    </row>
    <row r="43" spans="1:7" ht="15">
      <c r="A43" s="68"/>
      <c r="B43" s="68" t="s">
        <v>112</v>
      </c>
      <c r="C43" s="251">
        <v>5</v>
      </c>
      <c r="D43" s="238" t="str">
        <f>VLOOKUP(B43,'[1]Resumen'!$B$7:$D$156,3,0)</f>
        <v>Unidad</v>
      </c>
      <c r="E43" s="329">
        <f>VLOOKUP(B43,'[1]Resumen'!B$7:E$156,4,FALSE)</f>
        <v>374</v>
      </c>
      <c r="F43" s="328">
        <f>E43*C43</f>
        <v>1870</v>
      </c>
      <c r="G43" s="68"/>
    </row>
    <row r="44" spans="1:7" ht="15.75">
      <c r="A44" s="68"/>
      <c r="B44" s="68"/>
      <c r="C44" s="185"/>
      <c r="D44" s="68"/>
      <c r="E44" s="336" t="s">
        <v>12</v>
      </c>
      <c r="F44" s="330">
        <f>SUM(F42:F43)</f>
        <v>2270</v>
      </c>
      <c r="G44" s="68" t="s">
        <v>20</v>
      </c>
    </row>
    <row r="45" spans="1:7" ht="15.75">
      <c r="A45" s="246" t="s">
        <v>33</v>
      </c>
      <c r="B45" s="68"/>
      <c r="C45" s="45"/>
      <c r="D45" s="68"/>
      <c r="E45" s="337"/>
      <c r="F45" s="337"/>
      <c r="G45" s="68"/>
    </row>
    <row r="46" spans="1:7" ht="15">
      <c r="A46" s="68"/>
      <c r="B46" s="68" t="s">
        <v>139</v>
      </c>
      <c r="C46" s="251">
        <v>5</v>
      </c>
      <c r="D46" s="238" t="str">
        <f>VLOOKUP(B46,'[1]Resumen'!$B$7:$D$156,3,0)</f>
        <v>Unidad</v>
      </c>
      <c r="E46" s="329">
        <f>VLOOKUP(B46,'[1]Resumen'!B$7:E$156,4,FALSE)</f>
        <v>54.91</v>
      </c>
      <c r="F46" s="328">
        <f aca="true" t="shared" si="1" ref="F46:F58">E46*C46</f>
        <v>274.54999999999995</v>
      </c>
      <c r="G46" s="68"/>
    </row>
    <row r="47" spans="1:7" ht="15">
      <c r="A47" s="68"/>
      <c r="B47" s="68" t="s">
        <v>131</v>
      </c>
      <c r="C47" s="251">
        <v>5</v>
      </c>
      <c r="D47" s="238" t="str">
        <f>VLOOKUP(B47,'[1]Resumen'!$B$7:$D$156,3,0)</f>
        <v>Unidad</v>
      </c>
      <c r="E47" s="329">
        <f>VLOOKUP(B47,'[1]Resumen'!B$7:E$156,4,FALSE)</f>
        <v>10</v>
      </c>
      <c r="F47" s="328">
        <f t="shared" si="1"/>
        <v>50</v>
      </c>
      <c r="G47" s="68"/>
    </row>
    <row r="48" spans="1:7" ht="15">
      <c r="A48" s="68"/>
      <c r="B48" s="70" t="s">
        <v>103</v>
      </c>
      <c r="C48" s="251">
        <v>1</v>
      </c>
      <c r="D48" s="238" t="str">
        <f>VLOOKUP(B48,'[1]Resumen'!$B$7:$D$156,3,0)</f>
        <v>Unidad</v>
      </c>
      <c r="E48" s="329">
        <f>VLOOKUP(B48,'[1]Resumen'!B$7:E$156,4,FALSE)</f>
        <v>61</v>
      </c>
      <c r="F48" s="328">
        <f t="shared" si="1"/>
        <v>61</v>
      </c>
      <c r="G48" s="68"/>
    </row>
    <row r="49" spans="1:7" ht="15">
      <c r="A49" s="68"/>
      <c r="B49" s="70" t="s">
        <v>41</v>
      </c>
      <c r="C49" s="251">
        <v>1</v>
      </c>
      <c r="D49" s="238" t="str">
        <f>VLOOKUP(B49,'[1]Resumen'!$B$7:$D$156,3,0)</f>
        <v>Unidad</v>
      </c>
      <c r="E49" s="329">
        <v>5</v>
      </c>
      <c r="F49" s="328">
        <f t="shared" si="1"/>
        <v>5</v>
      </c>
      <c r="G49" s="68"/>
    </row>
    <row r="50" spans="1:7" ht="15">
      <c r="A50" s="68"/>
      <c r="B50" s="68" t="s">
        <v>106</v>
      </c>
      <c r="C50" s="251">
        <v>3</v>
      </c>
      <c r="D50" s="238" t="str">
        <f>VLOOKUP(B50,'[1]Resumen'!$B$7:$D$156,3,0)</f>
        <v>Unidad</v>
      </c>
      <c r="E50" s="329">
        <f>VLOOKUP(B50,'[1]Resumen'!B$7:E$156,4,FALSE)</f>
        <v>20.29</v>
      </c>
      <c r="F50" s="328">
        <f t="shared" si="1"/>
        <v>60.87</v>
      </c>
      <c r="G50" s="68"/>
    </row>
    <row r="51" spans="1:7" ht="15">
      <c r="A51" s="68"/>
      <c r="B51" s="70" t="s">
        <v>42</v>
      </c>
      <c r="C51" s="251">
        <v>3</v>
      </c>
      <c r="D51" s="238" t="str">
        <f>VLOOKUP(B51,'[1]Resumen'!$B$7:$D$156,3,0)</f>
        <v>Unidad</v>
      </c>
      <c r="E51" s="329">
        <v>20</v>
      </c>
      <c r="F51" s="328">
        <f t="shared" si="1"/>
        <v>60</v>
      </c>
      <c r="G51" s="68"/>
    </row>
    <row r="52" spans="1:7" ht="15">
      <c r="A52" s="68"/>
      <c r="B52" s="68" t="s">
        <v>116</v>
      </c>
      <c r="C52" s="251">
        <v>1</v>
      </c>
      <c r="D52" s="238" t="str">
        <f>VLOOKUP(B52,'[1]Resumen'!$B$7:$D$156,3,0)</f>
        <v>Unidad</v>
      </c>
      <c r="E52" s="329">
        <f>VLOOKUP(B52,'[1]Resumen'!B$7:E$156,4,FALSE)</f>
        <v>46.17</v>
      </c>
      <c r="F52" s="328">
        <f t="shared" si="1"/>
        <v>46.17</v>
      </c>
      <c r="G52" s="68"/>
    </row>
    <row r="53" spans="1:7" ht="15">
      <c r="A53" s="68"/>
      <c r="B53" s="60" t="s">
        <v>216</v>
      </c>
      <c r="C53" s="251">
        <v>1</v>
      </c>
      <c r="D53" s="238" t="str">
        <f>VLOOKUP(B53,'[1]Resumen'!$B$7:$D$156,3,0)</f>
        <v>Unidad</v>
      </c>
      <c r="E53" s="329">
        <f>VLOOKUP(B53,'[1]Resumen'!B$7:E$156,4,FALSE)</f>
        <v>3500</v>
      </c>
      <c r="F53" s="328">
        <f t="shared" si="1"/>
        <v>3500</v>
      </c>
      <c r="G53" s="68"/>
    </row>
    <row r="54" spans="1:7" ht="15">
      <c r="A54" s="68"/>
      <c r="B54" s="60" t="s">
        <v>217</v>
      </c>
      <c r="C54" s="251">
        <v>1</v>
      </c>
      <c r="D54" s="238" t="str">
        <f>VLOOKUP(B54,'[1]Resumen'!$B$7:$D$156,3,0)</f>
        <v>Unidad</v>
      </c>
      <c r="E54" s="329">
        <f>VLOOKUP(B54,'[1]Resumen'!B$7:E$156,4,FALSE)</f>
        <v>1800</v>
      </c>
      <c r="F54" s="328">
        <f t="shared" si="1"/>
        <v>1800</v>
      </c>
      <c r="G54" s="68"/>
    </row>
    <row r="55" spans="1:7" ht="15">
      <c r="A55" s="68"/>
      <c r="B55" s="68" t="s">
        <v>101</v>
      </c>
      <c r="C55" s="251">
        <v>1</v>
      </c>
      <c r="D55" s="238" t="str">
        <f>VLOOKUP(B55,'[1]Resumen'!$B$7:$D$156,3,0)</f>
        <v>Unidad</v>
      </c>
      <c r="E55" s="329">
        <v>12</v>
      </c>
      <c r="F55" s="328">
        <f t="shared" si="1"/>
        <v>12</v>
      </c>
      <c r="G55" s="68"/>
    </row>
    <row r="56" spans="1:7" ht="15">
      <c r="A56" s="68"/>
      <c r="B56" s="68" t="s">
        <v>117</v>
      </c>
      <c r="C56" s="251">
        <v>1</v>
      </c>
      <c r="D56" s="238" t="str">
        <f>VLOOKUP(B56,'[1]Resumen'!$B$7:$D$156,3,0)</f>
        <v>Unidad</v>
      </c>
      <c r="E56" s="329">
        <v>15</v>
      </c>
      <c r="F56" s="328">
        <f t="shared" si="1"/>
        <v>15</v>
      </c>
      <c r="G56" s="68"/>
    </row>
    <row r="57" spans="1:7" ht="15">
      <c r="A57" s="68"/>
      <c r="B57" s="68" t="s">
        <v>87</v>
      </c>
      <c r="C57" s="251">
        <v>1</v>
      </c>
      <c r="D57" s="238" t="str">
        <f>VLOOKUP(B57,'[1]Resumen'!$B$7:$D$156,3,0)</f>
        <v>Unidad</v>
      </c>
      <c r="E57" s="329">
        <f>VLOOKUP(B57,'[1]Resumen'!B$7:E$156,4,FALSE)</f>
        <v>21</v>
      </c>
      <c r="F57" s="328">
        <f t="shared" si="1"/>
        <v>21</v>
      </c>
      <c r="G57" s="68"/>
    </row>
    <row r="58" spans="1:7" ht="15">
      <c r="A58" s="68"/>
      <c r="B58" s="68" t="s">
        <v>100</v>
      </c>
      <c r="C58" s="251">
        <v>10</v>
      </c>
      <c r="D58" s="238" t="str">
        <f>VLOOKUP(B58,'[1]Resumen'!$B$7:$D$156,3,0)</f>
        <v>Rollo</v>
      </c>
      <c r="E58" s="329">
        <f>VLOOKUP(B58,'[1]Resumen'!B$7:E$156,4,FALSE)</f>
        <v>6</v>
      </c>
      <c r="F58" s="328">
        <f t="shared" si="1"/>
        <v>60</v>
      </c>
      <c r="G58" s="68"/>
    </row>
    <row r="59" spans="1:7" ht="15.75">
      <c r="A59" s="68"/>
      <c r="B59" s="68"/>
      <c r="C59" s="184"/>
      <c r="D59" s="68"/>
      <c r="E59" s="336" t="s">
        <v>12</v>
      </c>
      <c r="F59" s="330">
        <f>SUM(F46:F58)</f>
        <v>5965.59</v>
      </c>
      <c r="G59" s="68" t="s">
        <v>22</v>
      </c>
    </row>
    <row r="60" spans="1:7" ht="15.75">
      <c r="A60" s="239"/>
      <c r="B60" s="239"/>
      <c r="C60" s="598" t="s">
        <v>292</v>
      </c>
      <c r="D60" s="598"/>
      <c r="E60" s="598"/>
      <c r="F60" s="339">
        <f>SUM(F44+F59)</f>
        <v>8235.59</v>
      </c>
      <c r="G60" s="68"/>
    </row>
    <row r="61" spans="1:7" ht="15.75">
      <c r="A61" s="64" t="s">
        <v>162</v>
      </c>
      <c r="B61" s="60"/>
      <c r="C61" s="76">
        <v>4</v>
      </c>
      <c r="D61" s="244"/>
      <c r="E61" s="342"/>
      <c r="F61" s="343"/>
      <c r="G61" s="60"/>
    </row>
    <row r="62" spans="1:7" ht="15.75">
      <c r="A62" s="60" t="s">
        <v>6</v>
      </c>
      <c r="B62" s="60"/>
      <c r="C62" s="45"/>
      <c r="D62" s="244"/>
      <c r="E62" s="342"/>
      <c r="F62" s="343"/>
      <c r="G62" s="60"/>
    </row>
    <row r="63" spans="1:7" ht="15.75" thickBot="1">
      <c r="A63" s="60"/>
      <c r="B63" s="60" t="s">
        <v>11</v>
      </c>
      <c r="C63" s="251">
        <v>3</v>
      </c>
      <c r="D63" s="238" t="str">
        <f>VLOOKUP(B63,'[1]Resumen'!$B$7:$D$156,3,0)</f>
        <v>Unidad</v>
      </c>
      <c r="E63" s="329">
        <v>60</v>
      </c>
      <c r="F63" s="328">
        <f>E63*C63</f>
        <v>180</v>
      </c>
      <c r="G63" s="60"/>
    </row>
    <row r="64" spans="1:7" ht="16.5" thickBot="1">
      <c r="A64" s="60"/>
      <c r="B64" s="60"/>
      <c r="C64" s="45"/>
      <c r="D64" s="60"/>
      <c r="E64" s="329" t="s">
        <v>12</v>
      </c>
      <c r="F64" s="344">
        <f>SUM(F63:F63)</f>
        <v>180</v>
      </c>
      <c r="G64" s="60" t="s">
        <v>13</v>
      </c>
    </row>
    <row r="65" spans="1:8" ht="16.5" thickTop="1">
      <c r="A65" s="60"/>
      <c r="B65" s="60"/>
      <c r="C65" s="45"/>
      <c r="D65" s="60"/>
      <c r="E65" s="345" t="s">
        <v>5</v>
      </c>
      <c r="F65" s="346">
        <f>SUMIF(E61:E64,"Subtotal",F61:F64)</f>
        <v>180</v>
      </c>
      <c r="G65" s="60"/>
      <c r="H65" s="78"/>
    </row>
    <row r="66" spans="1:7" ht="15.75">
      <c r="A66" s="64" t="s">
        <v>221</v>
      </c>
      <c r="B66" s="60"/>
      <c r="C66" s="251">
        <v>225</v>
      </c>
      <c r="D66" s="60" t="s">
        <v>160</v>
      </c>
      <c r="E66" s="345"/>
      <c r="F66" s="346"/>
      <c r="G66" s="60"/>
    </row>
    <row r="67" spans="1:7" ht="15.75">
      <c r="A67" s="64" t="s">
        <v>6</v>
      </c>
      <c r="B67" s="60"/>
      <c r="C67" s="48"/>
      <c r="D67" s="60"/>
      <c r="E67" s="327"/>
      <c r="F67" s="327"/>
      <c r="G67" s="60"/>
    </row>
    <row r="68" spans="1:7" ht="16.5" customHeight="1">
      <c r="A68" s="60"/>
      <c r="B68" s="68" t="s">
        <v>264</v>
      </c>
      <c r="C68" s="251">
        <v>3</v>
      </c>
      <c r="D68" s="238" t="s">
        <v>110</v>
      </c>
      <c r="E68" s="329">
        <v>78</v>
      </c>
      <c r="F68" s="328">
        <f>E68*C68</f>
        <v>234</v>
      </c>
      <c r="G68" s="60"/>
    </row>
    <row r="69" spans="1:7" ht="15.75">
      <c r="A69" s="239"/>
      <c r="B69" s="598" t="s">
        <v>291</v>
      </c>
      <c r="C69" s="598"/>
      <c r="D69" s="598"/>
      <c r="E69" s="598"/>
      <c r="F69" s="333">
        <f>SUM(F68:F68)</f>
        <v>234</v>
      </c>
      <c r="G69" s="60" t="s">
        <v>13</v>
      </c>
    </row>
    <row r="70" spans="1:7" ht="15.75">
      <c r="A70" s="64" t="s">
        <v>22</v>
      </c>
      <c r="B70" s="60"/>
      <c r="C70" s="251"/>
      <c r="D70" s="60"/>
      <c r="E70" s="329"/>
      <c r="F70" s="347"/>
      <c r="G70" s="60"/>
    </row>
    <row r="71" spans="1:7" ht="15">
      <c r="A71" s="60"/>
      <c r="B71" s="68" t="s">
        <v>86</v>
      </c>
      <c r="C71" s="251">
        <v>3</v>
      </c>
      <c r="D71" s="238" t="str">
        <f>VLOOKUP(B71,'[1]Resumen'!$B$7:$D$156,3,0)</f>
        <v>Unidad</v>
      </c>
      <c r="E71" s="329">
        <f>VLOOKUP(B71,'[1]Resumen'!B$7:E$156,4,FALSE)</f>
        <v>6.2</v>
      </c>
      <c r="F71" s="328">
        <f>E71*C71</f>
        <v>18.6</v>
      </c>
      <c r="G71" s="60"/>
    </row>
    <row r="72" spans="1:7" ht="15">
      <c r="A72" s="60"/>
      <c r="B72" s="60" t="s">
        <v>235</v>
      </c>
      <c r="C72" s="251">
        <v>1</v>
      </c>
      <c r="D72" s="238" t="str">
        <f>VLOOKUP(B72,'[1]Resumen'!$B$7:$D$156,3,0)</f>
        <v>Unidad</v>
      </c>
      <c r="E72" s="329">
        <f>VLOOKUP(B72,'[1]Resumen'!B$7:E$156,4,FALSE)</f>
        <v>280</v>
      </c>
      <c r="F72" s="328">
        <f>E72*C72</f>
        <v>280</v>
      </c>
      <c r="G72" s="60"/>
    </row>
    <row r="73" spans="1:7" ht="15">
      <c r="A73" s="60"/>
      <c r="B73" s="60" t="s">
        <v>236</v>
      </c>
      <c r="C73" s="251">
        <v>10</v>
      </c>
      <c r="D73" s="238" t="str">
        <f>VLOOKUP(B73,'[1]Resumen'!$B$7:$D$156,3,0)</f>
        <v>Unidad</v>
      </c>
      <c r="E73" s="329">
        <f>VLOOKUP(B73,'[1]Resumen'!B$7:E$156,4,FALSE)</f>
        <v>40</v>
      </c>
      <c r="F73" s="328">
        <f>E73*C73</f>
        <v>400</v>
      </c>
      <c r="G73" s="60"/>
    </row>
    <row r="74" spans="1:7" ht="15">
      <c r="A74" s="60"/>
      <c r="B74" s="60" t="s">
        <v>237</v>
      </c>
      <c r="C74" s="251">
        <v>4</v>
      </c>
      <c r="D74" s="238" t="str">
        <f>VLOOKUP(B74,'[1]Resumen'!$B$7:$D$156,3,0)</f>
        <v>Unidad</v>
      </c>
      <c r="E74" s="329">
        <f>VLOOKUP(B74,'[1]Resumen'!B$7:E$156,4,FALSE)</f>
        <v>30</v>
      </c>
      <c r="F74" s="328">
        <f>E74*C74</f>
        <v>120</v>
      </c>
      <c r="G74" s="60"/>
    </row>
    <row r="75" spans="1:7" ht="15">
      <c r="A75" s="60"/>
      <c r="B75" s="68" t="s">
        <v>241</v>
      </c>
      <c r="C75" s="251">
        <v>3</v>
      </c>
      <c r="D75" s="238" t="str">
        <f>VLOOKUP(B75,'[1]Resumen'!$B$7:$D$156,3,0)</f>
        <v>Unidad</v>
      </c>
      <c r="E75" s="329">
        <f>VLOOKUP(B75,'[1]Resumen'!B$7:E$156,4,FALSE)</f>
        <v>15.88</v>
      </c>
      <c r="F75" s="328">
        <f>E75*C75</f>
        <v>47.64</v>
      </c>
      <c r="G75" s="60"/>
    </row>
    <row r="76" spans="1:7" ht="15.75">
      <c r="A76" s="60"/>
      <c r="B76" s="60"/>
      <c r="C76" s="251"/>
      <c r="D76" s="60"/>
      <c r="E76" s="329" t="s">
        <v>12</v>
      </c>
      <c r="F76" s="347">
        <f>SUM(F71:F75)</f>
        <v>866.24</v>
      </c>
      <c r="G76" s="60" t="s">
        <v>22</v>
      </c>
    </row>
    <row r="77" spans="1:8" s="73" customFormat="1" ht="15.75">
      <c r="A77" s="68"/>
      <c r="B77" s="68"/>
      <c r="C77" s="68"/>
      <c r="D77" s="68"/>
      <c r="E77" s="334" t="s">
        <v>5</v>
      </c>
      <c r="F77" s="330">
        <f>SUM(F76+F69)</f>
        <v>1100.24</v>
      </c>
      <c r="G77" s="242"/>
      <c r="H77" s="78"/>
    </row>
    <row r="78" spans="1:6" ht="15.75" thickBot="1">
      <c r="A78" s="2"/>
      <c r="B78" s="2"/>
      <c r="C78" s="52"/>
      <c r="D78" s="2"/>
      <c r="E78" s="327"/>
      <c r="F78" s="327"/>
    </row>
    <row r="79" spans="1:6" ht="15.75">
      <c r="A79" s="2"/>
      <c r="B79" s="2"/>
      <c r="C79" s="52"/>
      <c r="D79" s="267" t="s">
        <v>75</v>
      </c>
      <c r="E79" s="359">
        <f>F77+F65+F60+F39+F28+F18</f>
        <v>21690.940000000002</v>
      </c>
      <c r="F79" s="322">
        <f>SUM(E79/20.2366)</f>
        <v>1071.866815571786</v>
      </c>
    </row>
    <row r="80" spans="1:6" ht="15">
      <c r="A80" s="2"/>
      <c r="B80" s="2"/>
      <c r="C80" s="52"/>
      <c r="D80" s="2"/>
      <c r="E80" s="327"/>
      <c r="F80" s="327"/>
    </row>
    <row r="81" spans="1:6" ht="15.75">
      <c r="A81" s="2"/>
      <c r="B81" s="603" t="s">
        <v>350</v>
      </c>
      <c r="C81" s="603"/>
      <c r="D81" s="603"/>
      <c r="E81" s="270">
        <f>F28+F39+F65+F69</f>
        <v>10214</v>
      </c>
      <c r="F81" s="327"/>
    </row>
    <row r="82" spans="1:6" ht="15.75">
      <c r="A82" s="2"/>
      <c r="B82" s="603" t="s">
        <v>351</v>
      </c>
      <c r="C82" s="603"/>
      <c r="D82" s="603"/>
      <c r="E82" s="270">
        <f>F18+F60+F76</f>
        <v>11476.94</v>
      </c>
      <c r="F82" s="327"/>
    </row>
    <row r="83" spans="1:6" ht="15.75">
      <c r="A83" s="2"/>
      <c r="B83" s="60"/>
      <c r="C83" s="251"/>
      <c r="D83" s="238"/>
      <c r="E83" s="359">
        <f>SUM(E81:E82)</f>
        <v>21690.940000000002</v>
      </c>
      <c r="F83" s="327"/>
    </row>
    <row r="84" spans="1:6" ht="15">
      <c r="A84" s="2"/>
      <c r="B84" s="2"/>
      <c r="C84" s="52"/>
      <c r="D84" s="2"/>
      <c r="E84" s="327"/>
      <c r="F84" s="327"/>
    </row>
    <row r="85" spans="1:6" ht="15">
      <c r="A85" s="2"/>
      <c r="B85" s="2"/>
      <c r="C85" s="52"/>
      <c r="D85" s="2"/>
      <c r="E85" s="327"/>
      <c r="F85" s="327"/>
    </row>
    <row r="86" spans="1:6" ht="15">
      <c r="A86" s="2"/>
      <c r="B86" s="2"/>
      <c r="C86" s="52"/>
      <c r="D86" s="2"/>
      <c r="E86" s="327"/>
      <c r="F86" s="327"/>
    </row>
    <row r="87" spans="1:6" ht="15">
      <c r="A87" s="2"/>
      <c r="B87" s="2"/>
      <c r="C87" s="52"/>
      <c r="D87" s="2"/>
      <c r="E87" s="327"/>
      <c r="F87" s="327"/>
    </row>
    <row r="88" spans="1:6" ht="15">
      <c r="A88" s="2"/>
      <c r="B88" s="2"/>
      <c r="C88" s="52"/>
      <c r="D88" s="2"/>
      <c r="E88" s="327"/>
      <c r="F88" s="327"/>
    </row>
    <row r="89" spans="1:6" ht="15">
      <c r="A89" s="2"/>
      <c r="B89" s="2"/>
      <c r="C89" s="52"/>
      <c r="D89" s="2"/>
      <c r="E89" s="327"/>
      <c r="F89" s="327"/>
    </row>
    <row r="90" spans="1:6" ht="15">
      <c r="A90" s="2"/>
      <c r="B90" s="2"/>
      <c r="C90" s="52"/>
      <c r="D90" s="2"/>
      <c r="E90" s="327"/>
      <c r="F90" s="327"/>
    </row>
    <row r="91" spans="1:6" ht="15">
      <c r="A91" s="2"/>
      <c r="B91" s="2"/>
      <c r="C91" s="52"/>
      <c r="D91" s="2"/>
      <c r="E91" s="327"/>
      <c r="F91" s="327"/>
    </row>
    <row r="92" spans="1:6" ht="15">
      <c r="A92" s="2"/>
      <c r="B92" s="2"/>
      <c r="C92" s="52"/>
      <c r="D92" s="2"/>
      <c r="E92" s="327"/>
      <c r="F92" s="327"/>
    </row>
    <row r="93" spans="1:6" ht="15">
      <c r="A93" s="2"/>
      <c r="B93" s="2"/>
      <c r="C93" s="52"/>
      <c r="D93" s="2"/>
      <c r="E93" s="327"/>
      <c r="F93" s="327"/>
    </row>
    <row r="94" spans="1:6" ht="15">
      <c r="A94" s="2"/>
      <c r="B94" s="2"/>
      <c r="C94" s="52"/>
      <c r="D94" s="2"/>
      <c r="E94" s="327"/>
      <c r="F94" s="327"/>
    </row>
    <row r="95" spans="1:6" ht="15">
      <c r="A95" s="2"/>
      <c r="B95" s="2"/>
      <c r="C95" s="52"/>
      <c r="D95" s="2"/>
      <c r="E95" s="327"/>
      <c r="F95" s="327"/>
    </row>
    <row r="96" spans="1:6" ht="15">
      <c r="A96" s="2"/>
      <c r="B96" s="2"/>
      <c r="C96" s="52"/>
      <c r="D96" s="2"/>
      <c r="E96" s="327"/>
      <c r="F96" s="327"/>
    </row>
    <row r="97" spans="1:6" ht="15">
      <c r="A97" s="2"/>
      <c r="B97" s="2"/>
      <c r="C97" s="52"/>
      <c r="D97" s="2"/>
      <c r="E97" s="327"/>
      <c r="F97" s="327"/>
    </row>
    <row r="98" spans="1:6" ht="15">
      <c r="A98" s="2"/>
      <c r="B98" s="2"/>
      <c r="C98" s="52"/>
      <c r="D98" s="2"/>
      <c r="E98" s="327"/>
      <c r="F98" s="327"/>
    </row>
    <row r="99" spans="1:6" ht="15">
      <c r="A99" s="2"/>
      <c r="B99" s="2"/>
      <c r="C99" s="52"/>
      <c r="D99" s="2"/>
      <c r="E99" s="327"/>
      <c r="F99" s="327"/>
    </row>
    <row r="100" spans="1:6" ht="15">
      <c r="A100" s="2"/>
      <c r="B100" s="2"/>
      <c r="C100" s="52"/>
      <c r="D100" s="2"/>
      <c r="E100" s="327"/>
      <c r="F100" s="327"/>
    </row>
    <row r="101" spans="1:6" ht="15">
      <c r="A101" s="2"/>
      <c r="B101" s="2"/>
      <c r="C101" s="52"/>
      <c r="D101" s="2"/>
      <c r="E101" s="327"/>
      <c r="F101" s="327"/>
    </row>
    <row r="102" spans="1:6" ht="15">
      <c r="A102" s="2"/>
      <c r="B102" s="2"/>
      <c r="C102" s="52"/>
      <c r="D102" s="2"/>
      <c r="E102" s="327"/>
      <c r="F102" s="327"/>
    </row>
    <row r="103" spans="1:6" ht="15">
      <c r="A103" s="2"/>
      <c r="B103" s="2"/>
      <c r="C103" s="52"/>
      <c r="D103" s="2"/>
      <c r="E103" s="327"/>
      <c r="F103" s="327"/>
    </row>
    <row r="104" spans="1:6" ht="15">
      <c r="A104" s="2"/>
      <c r="B104" s="2"/>
      <c r="C104" s="52"/>
      <c r="D104" s="2"/>
      <c r="E104" s="327"/>
      <c r="F104" s="327"/>
    </row>
    <row r="105" spans="1:6" ht="15">
      <c r="A105" s="2"/>
      <c r="B105" s="2"/>
      <c r="C105" s="52"/>
      <c r="D105" s="2"/>
      <c r="E105" s="327"/>
      <c r="F105" s="327"/>
    </row>
    <row r="106" spans="1:6" ht="15">
      <c r="A106" s="2"/>
      <c r="B106" s="2"/>
      <c r="C106" s="52"/>
      <c r="D106" s="2"/>
      <c r="E106" s="327"/>
      <c r="F106" s="327"/>
    </row>
    <row r="107" spans="1:6" ht="15">
      <c r="A107" s="2"/>
      <c r="B107" s="2"/>
      <c r="C107" s="52"/>
      <c r="D107" s="2"/>
      <c r="E107" s="327"/>
      <c r="F107" s="327"/>
    </row>
    <row r="108" spans="1:6" ht="15">
      <c r="A108" s="2"/>
      <c r="B108" s="2"/>
      <c r="C108" s="52"/>
      <c r="D108" s="2"/>
      <c r="E108" s="327"/>
      <c r="F108" s="327"/>
    </row>
    <row r="109" spans="1:6" ht="15">
      <c r="A109" s="2"/>
      <c r="B109" s="2"/>
      <c r="C109" s="52"/>
      <c r="D109" s="2"/>
      <c r="E109" s="327"/>
      <c r="F109" s="327"/>
    </row>
    <row r="110" spans="1:6" ht="15">
      <c r="A110" s="2"/>
      <c r="B110" s="2"/>
      <c r="C110" s="52"/>
      <c r="D110" s="2"/>
      <c r="E110" s="327"/>
      <c r="F110" s="327"/>
    </row>
    <row r="111" spans="1:6" ht="15">
      <c r="A111" s="2"/>
      <c r="B111" s="2"/>
      <c r="C111" s="52"/>
      <c r="D111" s="2"/>
      <c r="E111" s="327"/>
      <c r="F111" s="327"/>
    </row>
    <row r="112" spans="1:6" ht="15">
      <c r="A112" s="2"/>
      <c r="B112" s="2"/>
      <c r="C112" s="52"/>
      <c r="D112" s="2"/>
      <c r="E112" s="327"/>
      <c r="F112" s="327"/>
    </row>
    <row r="113" spans="1:6" ht="15">
      <c r="A113" s="2"/>
      <c r="B113" s="2"/>
      <c r="C113" s="52"/>
      <c r="D113" s="2"/>
      <c r="E113" s="327"/>
      <c r="F113" s="327"/>
    </row>
    <row r="114" spans="1:6" ht="15">
      <c r="A114" s="2"/>
      <c r="B114" s="2"/>
      <c r="C114" s="52"/>
      <c r="D114" s="2"/>
      <c r="E114" s="327"/>
      <c r="F114" s="327"/>
    </row>
    <row r="115" spans="1:6" ht="15">
      <c r="A115" s="2"/>
      <c r="B115" s="2"/>
      <c r="C115" s="52"/>
      <c r="D115" s="2"/>
      <c r="E115" s="327"/>
      <c r="F115" s="327"/>
    </row>
    <row r="116" spans="1:6" ht="15">
      <c r="A116" s="2"/>
      <c r="B116" s="2"/>
      <c r="C116" s="52"/>
      <c r="D116" s="2"/>
      <c r="E116" s="327"/>
      <c r="F116" s="327"/>
    </row>
    <row r="117" spans="1:6" ht="15">
      <c r="A117" s="2"/>
      <c r="B117" s="2"/>
      <c r="C117" s="52"/>
      <c r="D117" s="2"/>
      <c r="E117" s="327"/>
      <c r="F117" s="327"/>
    </row>
    <row r="118" spans="1:6" ht="15">
      <c r="A118" s="2"/>
      <c r="B118" s="2"/>
      <c r="C118" s="52"/>
      <c r="D118" s="2"/>
      <c r="E118" s="327"/>
      <c r="F118" s="327"/>
    </row>
    <row r="119" spans="1:6" ht="15">
      <c r="A119" s="2"/>
      <c r="B119" s="2"/>
      <c r="C119" s="52"/>
      <c r="D119" s="2"/>
      <c r="E119" s="327"/>
      <c r="F119" s="327"/>
    </row>
    <row r="120" spans="1:6" ht="15">
      <c r="A120" s="2"/>
      <c r="B120" s="2"/>
      <c r="C120" s="52"/>
      <c r="D120" s="2"/>
      <c r="E120" s="327"/>
      <c r="F120" s="327"/>
    </row>
    <row r="121" spans="1:6" ht="15">
      <c r="A121" s="2"/>
      <c r="B121" s="2"/>
      <c r="C121" s="52"/>
      <c r="D121" s="2"/>
      <c r="E121" s="327"/>
      <c r="F121" s="327"/>
    </row>
    <row r="122" spans="1:6" ht="15">
      <c r="A122" s="2"/>
      <c r="B122" s="2"/>
      <c r="C122" s="52"/>
      <c r="D122" s="2"/>
      <c r="E122" s="327"/>
      <c r="F122" s="327"/>
    </row>
    <row r="123" spans="1:6" ht="15">
      <c r="A123" s="2"/>
      <c r="B123" s="2"/>
      <c r="C123" s="52"/>
      <c r="D123" s="2"/>
      <c r="E123" s="327"/>
      <c r="F123" s="327"/>
    </row>
    <row r="124" spans="1:6" ht="15">
      <c r="A124" s="2"/>
      <c r="B124" s="2"/>
      <c r="C124" s="52"/>
      <c r="D124" s="2"/>
      <c r="E124" s="327"/>
      <c r="F124" s="327"/>
    </row>
    <row r="125" spans="1:6" ht="15">
      <c r="A125" s="2"/>
      <c r="B125" s="2"/>
      <c r="C125" s="52"/>
      <c r="D125" s="2"/>
      <c r="E125" s="327"/>
      <c r="F125" s="327"/>
    </row>
    <row r="126" spans="1:6" ht="15">
      <c r="A126" s="2"/>
      <c r="B126" s="2"/>
      <c r="C126" s="52"/>
      <c r="D126" s="2"/>
      <c r="E126" s="327"/>
      <c r="F126" s="327"/>
    </row>
    <row r="127" spans="1:6" ht="15">
      <c r="A127" s="2"/>
      <c r="B127" s="2"/>
      <c r="C127" s="52"/>
      <c r="D127" s="2"/>
      <c r="E127" s="327"/>
      <c r="F127" s="327"/>
    </row>
    <row r="128" spans="1:6" ht="15">
      <c r="A128" s="2"/>
      <c r="B128" s="2"/>
      <c r="C128" s="52"/>
      <c r="D128" s="2"/>
      <c r="E128" s="327"/>
      <c r="F128" s="327"/>
    </row>
    <row r="129" spans="1:6" ht="15">
      <c r="A129" s="2"/>
      <c r="B129" s="2"/>
      <c r="C129" s="52"/>
      <c r="D129" s="2"/>
      <c r="E129" s="327"/>
      <c r="F129" s="327"/>
    </row>
    <row r="130" spans="1:6" ht="15">
      <c r="A130" s="2"/>
      <c r="B130" s="2"/>
      <c r="C130" s="52"/>
      <c r="D130" s="2"/>
      <c r="E130" s="327"/>
      <c r="F130" s="327"/>
    </row>
    <row r="131" spans="1:6" ht="15">
      <c r="A131" s="2"/>
      <c r="B131" s="2"/>
      <c r="C131" s="52"/>
      <c r="D131" s="2"/>
      <c r="E131" s="327"/>
      <c r="F131" s="327"/>
    </row>
    <row r="132" spans="1:6" ht="15">
      <c r="A132" s="2"/>
      <c r="B132" s="2"/>
      <c r="C132" s="52"/>
      <c r="D132" s="2"/>
      <c r="E132" s="327"/>
      <c r="F132" s="327"/>
    </row>
    <row r="133" spans="1:6" ht="15">
      <c r="A133" s="2"/>
      <c r="B133" s="2"/>
      <c r="C133" s="52"/>
      <c r="D133" s="2"/>
      <c r="E133" s="327"/>
      <c r="F133" s="327"/>
    </row>
    <row r="134" spans="1:6" ht="15">
      <c r="A134" s="2"/>
      <c r="B134" s="2"/>
      <c r="C134" s="52"/>
      <c r="D134" s="2"/>
      <c r="E134" s="327"/>
      <c r="F134" s="327"/>
    </row>
    <row r="135" spans="1:6" ht="15">
      <c r="A135" s="2"/>
      <c r="B135" s="2"/>
      <c r="C135" s="52"/>
      <c r="D135" s="2"/>
      <c r="E135" s="327"/>
      <c r="F135" s="327"/>
    </row>
    <row r="136" spans="1:6" ht="15">
      <c r="A136" s="2"/>
      <c r="B136" s="2"/>
      <c r="C136" s="52"/>
      <c r="D136" s="2"/>
      <c r="E136" s="327"/>
      <c r="F136" s="327"/>
    </row>
    <row r="137" spans="1:6" ht="15">
      <c r="A137" s="2"/>
      <c r="B137" s="2"/>
      <c r="C137" s="52"/>
      <c r="D137" s="2"/>
      <c r="E137" s="327"/>
      <c r="F137" s="327"/>
    </row>
    <row r="138" spans="1:6" ht="15">
      <c r="A138" s="2"/>
      <c r="B138" s="2"/>
      <c r="C138" s="52"/>
      <c r="D138" s="2"/>
      <c r="E138" s="327"/>
      <c r="F138" s="327"/>
    </row>
    <row r="139" spans="1:6" ht="15">
      <c r="A139" s="2"/>
      <c r="B139" s="2"/>
      <c r="C139" s="52"/>
      <c r="D139" s="2"/>
      <c r="E139" s="327"/>
      <c r="F139" s="327"/>
    </row>
  </sheetData>
  <sheetProtection/>
  <mergeCells count="10">
    <mergeCell ref="B81:D81"/>
    <mergeCell ref="B82:D82"/>
    <mergeCell ref="C18:E18"/>
    <mergeCell ref="B69:E69"/>
    <mergeCell ref="B28:E28"/>
    <mergeCell ref="C60:E60"/>
    <mergeCell ref="E8:E9"/>
    <mergeCell ref="A5:F5"/>
    <mergeCell ref="A6:F6"/>
    <mergeCell ref="A9:B9"/>
  </mergeCells>
  <printOptions horizontalCentered="1" verticalCentered="1"/>
  <pageMargins left="0.5905511811023623" right="0.23" top="0.7874015748031497" bottom="1.11" header="0.3937007874015748" footer="0.74"/>
  <pageSetup fitToHeight="6" horizontalDpi="180" verticalDpi="180" orientation="portrait" scale="50" r:id="rId1"/>
  <headerFooter alignWithMargins="0">
    <oddHeader>&amp;LProyecto de Agua Potable.
Estudio de Factibilidad 2,008&amp;RComunidad  Mongallo/Negrowas
Municipio Siuna RAAN</oddHeader>
    <oddFooter>&amp;L&amp;F
&amp;D&amp;C&amp;P&amp;RAPLV - Rio Blanco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L77"/>
  <sheetViews>
    <sheetView workbookViewId="0" topLeftCell="A37">
      <selection activeCell="J51" sqref="J51"/>
    </sheetView>
  </sheetViews>
  <sheetFormatPr defaultColWidth="11.421875" defaultRowHeight="12.75"/>
  <cols>
    <col min="1" max="1" width="7.140625" style="13" customWidth="1"/>
    <col min="2" max="2" width="49.140625" style="13" customWidth="1"/>
    <col min="3" max="3" width="9.421875" style="13" customWidth="1"/>
    <col min="4" max="4" width="8.7109375" style="13" customWidth="1"/>
    <col min="5" max="5" width="12.28125" style="42" customWidth="1"/>
    <col min="6" max="6" width="17.57421875" style="42" customWidth="1"/>
    <col min="7" max="7" width="12.140625" style="14" customWidth="1"/>
    <col min="8" max="8" width="14.00390625" style="13" hidden="1" customWidth="1"/>
    <col min="9" max="9" width="16.140625" style="13" customWidth="1"/>
    <col min="10" max="16384" width="11.421875" style="13" customWidth="1"/>
  </cols>
  <sheetData>
    <row r="1" spans="1:6" ht="15.75">
      <c r="A1" s="150" t="s">
        <v>278</v>
      </c>
      <c r="B1" s="150"/>
      <c r="C1" s="150"/>
      <c r="D1" s="150"/>
      <c r="E1" s="150"/>
      <c r="F1" s="150"/>
    </row>
    <row r="2" spans="1:7" ht="15.75">
      <c r="A2" s="150" t="s">
        <v>283</v>
      </c>
      <c r="B2" s="150"/>
      <c r="C2" s="150"/>
      <c r="D2" s="150"/>
      <c r="E2" s="150"/>
      <c r="F2" s="150"/>
      <c r="G2" s="12"/>
    </row>
    <row r="3" spans="1:7" ht="15.75">
      <c r="A3" s="150" t="s">
        <v>284</v>
      </c>
      <c r="B3" s="150"/>
      <c r="C3" s="150"/>
      <c r="D3" s="150"/>
      <c r="E3" s="150"/>
      <c r="F3" s="150"/>
      <c r="G3" s="21"/>
    </row>
    <row r="4" spans="1:7" ht="15.75">
      <c r="A4" s="44"/>
      <c r="B4" s="44"/>
      <c r="C4" s="21"/>
      <c r="D4" s="21"/>
      <c r="E4" s="35"/>
      <c r="F4" s="35"/>
      <c r="G4" s="21"/>
    </row>
    <row r="5" spans="1:7" ht="15.75">
      <c r="A5" s="44"/>
      <c r="B5" s="44"/>
      <c r="C5" s="21"/>
      <c r="D5" s="21"/>
      <c r="E5" s="35"/>
      <c r="F5" s="35"/>
      <c r="G5" s="21"/>
    </row>
    <row r="6" spans="1:7" ht="15">
      <c r="A6" s="612" t="s">
        <v>317</v>
      </c>
      <c r="B6" s="612"/>
      <c r="C6" s="612"/>
      <c r="D6" s="612"/>
      <c r="E6" s="612"/>
      <c r="F6" s="612"/>
      <c r="G6" s="612"/>
    </row>
    <row r="7" spans="1:7" ht="15">
      <c r="A7" s="20"/>
      <c r="B7" s="20"/>
      <c r="C7" s="12"/>
      <c r="D7" s="20"/>
      <c r="E7" s="41"/>
      <c r="F7" s="40"/>
      <c r="G7" s="20"/>
    </row>
    <row r="8" spans="1:7" ht="15">
      <c r="A8" s="20" t="s">
        <v>43</v>
      </c>
      <c r="B8" s="21"/>
      <c r="C8" s="22">
        <v>109</v>
      </c>
      <c r="D8" s="20" t="s">
        <v>7</v>
      </c>
      <c r="E8" s="35"/>
      <c r="F8" s="35"/>
      <c r="G8" s="21"/>
    </row>
    <row r="9" spans="1:7" ht="14.25">
      <c r="A9" s="21" t="s">
        <v>6</v>
      </c>
      <c r="B9" s="21"/>
      <c r="C9" s="21"/>
      <c r="D9" s="21"/>
      <c r="E9" s="35"/>
      <c r="F9" s="35"/>
      <c r="G9" s="21"/>
    </row>
    <row r="10" spans="1:7" ht="14.25">
      <c r="A10" s="21"/>
      <c r="B10" s="21" t="s">
        <v>152</v>
      </c>
      <c r="C10" s="29">
        <v>109</v>
      </c>
      <c r="D10" s="21" t="str">
        <f>VLOOKUP(B10,'[1]Resumen'!$B$7:$D$156,3,0)</f>
        <v>bolsas</v>
      </c>
      <c r="E10" s="35">
        <f>VLOOKUP(B10,'[1]Resumen'!B$7:E$156,4,FALSE)</f>
        <v>180</v>
      </c>
      <c r="F10" s="35">
        <f>E10*C10</f>
        <v>19620</v>
      </c>
      <c r="G10" s="21"/>
    </row>
    <row r="11" spans="1:7" ht="14.25">
      <c r="A11" s="21"/>
      <c r="B11" s="21" t="s">
        <v>206</v>
      </c>
      <c r="C11" s="29">
        <v>13.1</v>
      </c>
      <c r="D11" s="21" t="str">
        <f>VLOOKUP(B11,'[1]Resumen'!$B$7:$D$156,3,0)</f>
        <v>m3</v>
      </c>
      <c r="E11" s="35">
        <f>VLOOKUP(B11,'[1]Resumen'!B$7:E$156,4,FALSE)</f>
        <v>400</v>
      </c>
      <c r="F11" s="35">
        <f aca="true" t="shared" si="0" ref="F11:F16">E11*C11</f>
        <v>5240</v>
      </c>
      <c r="G11" s="21"/>
    </row>
    <row r="12" spans="1:7" ht="14.25">
      <c r="A12" s="21"/>
      <c r="B12" s="21" t="s">
        <v>151</v>
      </c>
      <c r="C12" s="29">
        <v>4.4</v>
      </c>
      <c r="D12" s="21" t="str">
        <f>VLOOKUP(B12,'[1]Resumen'!$B$7:$D$156,3,0)</f>
        <v>m3</v>
      </c>
      <c r="E12" s="35">
        <f>VLOOKUP(B12,'[1]Resumen'!B$7:E$156,4,FALSE)</f>
        <v>850</v>
      </c>
      <c r="F12" s="35">
        <f t="shared" si="0"/>
        <v>3740.0000000000005</v>
      </c>
      <c r="G12" s="21"/>
    </row>
    <row r="13" spans="1:7" ht="14.25">
      <c r="A13" s="21"/>
      <c r="B13" s="21" t="s">
        <v>209</v>
      </c>
      <c r="C13" s="29">
        <v>5.2</v>
      </c>
      <c r="D13" s="21" t="str">
        <f>VLOOKUP(B13,'[1]Resumen'!$B$7:$D$156,3,0)</f>
        <v>qq</v>
      </c>
      <c r="E13" s="35">
        <f>VLOOKUP(B13,'[1]Resumen'!B$7:E$156,4,FALSE)</f>
        <v>1500</v>
      </c>
      <c r="F13" s="35">
        <f t="shared" si="0"/>
        <v>7800</v>
      </c>
      <c r="G13" s="21"/>
    </row>
    <row r="14" spans="1:7" ht="14.25">
      <c r="A14" s="21"/>
      <c r="B14" s="21" t="s">
        <v>210</v>
      </c>
      <c r="C14" s="29">
        <v>21.8</v>
      </c>
      <c r="D14" s="21" t="str">
        <f>VLOOKUP(B14,'[1]Resumen'!$B$7:$D$156,3,0)</f>
        <v>qq</v>
      </c>
      <c r="E14" s="35">
        <f>VLOOKUP(B14,'[1]Resumen'!B$7:E$156,4,FALSE)</f>
        <v>1400</v>
      </c>
      <c r="F14" s="35">
        <f t="shared" si="0"/>
        <v>30520</v>
      </c>
      <c r="G14" s="21"/>
    </row>
    <row r="15" spans="1:7" ht="14.25">
      <c r="A15" s="21" t="s">
        <v>8</v>
      </c>
      <c r="B15" s="21" t="s">
        <v>29</v>
      </c>
      <c r="C15" s="29">
        <v>17.4</v>
      </c>
      <c r="D15" s="21" t="str">
        <f>VLOOKUP(B15,'[1]Resumen'!$B$7:$D$156,3,0)</f>
        <v>lbs</v>
      </c>
      <c r="E15" s="35">
        <f>VLOOKUP(B15,'[1]Resumen'!B$7:E$156,4,FALSE)</f>
        <v>20</v>
      </c>
      <c r="F15" s="35">
        <f t="shared" si="0"/>
        <v>348</v>
      </c>
      <c r="G15" s="21"/>
    </row>
    <row r="16" spans="1:7" ht="14.25">
      <c r="A16" s="21"/>
      <c r="B16" s="21" t="s">
        <v>153</v>
      </c>
      <c r="C16" s="29">
        <v>11</v>
      </c>
      <c r="D16" s="21" t="str">
        <f>VLOOKUP(B16,'[1]Resumen'!$B$7:$D$156,3,0)</f>
        <v>lbs</v>
      </c>
      <c r="E16" s="35">
        <f>VLOOKUP(B16,'[1]Resumen'!B$7:E$156,4,FALSE)</f>
        <v>20</v>
      </c>
      <c r="F16" s="35">
        <f t="shared" si="0"/>
        <v>220</v>
      </c>
      <c r="G16" s="21"/>
    </row>
    <row r="17" spans="1:8" ht="15">
      <c r="A17" s="21"/>
      <c r="B17" s="21"/>
      <c r="C17" s="28" t="s">
        <v>8</v>
      </c>
      <c r="D17" s="21"/>
      <c r="E17" s="36" t="s">
        <v>12</v>
      </c>
      <c r="F17" s="39">
        <f>SUM(F10:F16)</f>
        <v>67488</v>
      </c>
      <c r="G17" s="21" t="s">
        <v>13</v>
      </c>
      <c r="H17" s="39">
        <f>SUM(F17/2)</f>
        <v>33744</v>
      </c>
    </row>
    <row r="18" spans="1:7" ht="14.25">
      <c r="A18" s="21" t="s">
        <v>44</v>
      </c>
      <c r="B18" s="21"/>
      <c r="C18" s="21"/>
      <c r="D18" s="21"/>
      <c r="E18" s="35"/>
      <c r="F18" s="35"/>
      <c r="G18" s="21"/>
    </row>
    <row r="19" spans="1:7" ht="14.25">
      <c r="A19" s="24"/>
      <c r="B19" s="24" t="s">
        <v>45</v>
      </c>
      <c r="C19" s="29">
        <f>(0.6*C8)/6</f>
        <v>10.899999999999999</v>
      </c>
      <c r="D19" s="21" t="str">
        <f>VLOOKUP(B19,'[1]Resumen'!$B$7:$D$156,3,0)</f>
        <v>Unidad</v>
      </c>
      <c r="E19" s="35">
        <f>VLOOKUP(B19,'[1]Resumen'!B$7:E$156,4,FALSE)</f>
        <v>364</v>
      </c>
      <c r="F19" s="35">
        <f>E19*C19</f>
        <v>3967.5999999999995</v>
      </c>
      <c r="G19" s="24"/>
    </row>
    <row r="20" spans="1:7" ht="14.25">
      <c r="A20" s="24"/>
      <c r="B20" s="21" t="s">
        <v>36</v>
      </c>
      <c r="C20" s="23">
        <v>218</v>
      </c>
      <c r="D20" s="21" t="str">
        <f>VLOOKUP(B20,'[1]Resumen'!$B$7:$D$156,3,0)</f>
        <v>Unidad</v>
      </c>
      <c r="E20" s="35">
        <f>VLOOKUP(B20,'[1]Resumen'!B$7:E$156,4,FALSE)</f>
        <v>47.86</v>
      </c>
      <c r="F20" s="35">
        <f>E20*C20</f>
        <v>10433.48</v>
      </c>
      <c r="G20" s="24"/>
    </row>
    <row r="21" spans="1:8" ht="15">
      <c r="A21" s="21"/>
      <c r="B21" s="21"/>
      <c r="C21" s="28"/>
      <c r="D21" s="21"/>
      <c r="E21" s="36" t="s">
        <v>12</v>
      </c>
      <c r="F21" s="39">
        <f>SUM(F19:F20)</f>
        <v>14401.079999999998</v>
      </c>
      <c r="G21" s="21" t="s">
        <v>20</v>
      </c>
      <c r="H21" s="39">
        <f>SUM(F21/2)</f>
        <v>7200.539999999999</v>
      </c>
    </row>
    <row r="22" spans="1:7" ht="14.25">
      <c r="A22" s="21" t="s">
        <v>46</v>
      </c>
      <c r="B22" s="21"/>
      <c r="C22" s="21"/>
      <c r="D22" s="21"/>
      <c r="E22" s="35"/>
      <c r="F22" s="35"/>
      <c r="G22" s="21"/>
    </row>
    <row r="23" spans="1:7" ht="14.25">
      <c r="A23" s="21"/>
      <c r="B23" s="21" t="s">
        <v>47</v>
      </c>
      <c r="C23" s="43">
        <v>109</v>
      </c>
      <c r="D23" s="21" t="str">
        <f>VLOOKUP(B23,'[1]Resumen'!$B$7:$D$156,3,0)</f>
        <v>Unidad</v>
      </c>
      <c r="E23" s="35">
        <f>VLOOKUP(B23,'[1]Resumen'!B$7:E$156,4,FALSE)</f>
        <v>66</v>
      </c>
      <c r="F23" s="35">
        <f aca="true" t="shared" si="1" ref="F23:F33">E23*C23</f>
        <v>7194</v>
      </c>
      <c r="G23" s="25"/>
    </row>
    <row r="24" spans="1:7" ht="14.25">
      <c r="A24" s="21"/>
      <c r="B24" s="21" t="s">
        <v>125</v>
      </c>
      <c r="C24" s="43">
        <v>109</v>
      </c>
      <c r="D24" s="21" t="str">
        <f>VLOOKUP(B24,'[1]Resumen'!$B$7:$D$156,3,0)</f>
        <v>Unidad</v>
      </c>
      <c r="E24" s="35">
        <f>VLOOKUP(B24,'[1]Resumen'!B$7:E$156,4,FALSE)</f>
        <v>11</v>
      </c>
      <c r="F24" s="35">
        <f t="shared" si="1"/>
        <v>1199</v>
      </c>
      <c r="G24" s="21"/>
    </row>
    <row r="25" spans="1:7" ht="14.25">
      <c r="A25" s="21"/>
      <c r="B25" s="27" t="s">
        <v>99</v>
      </c>
      <c r="C25" s="43">
        <v>109</v>
      </c>
      <c r="D25" s="21" t="str">
        <f>VLOOKUP(B25,'[1]Resumen'!$B$7:$D$156,3,0)</f>
        <v>Unidad</v>
      </c>
      <c r="E25" s="35">
        <f>VLOOKUP(B25,'[1]Resumen'!B$7:E$156,4,FALSE)</f>
        <v>2.63</v>
      </c>
      <c r="F25" s="35">
        <f t="shared" si="1"/>
        <v>286.67</v>
      </c>
      <c r="G25" s="21"/>
    </row>
    <row r="26" spans="1:7" ht="14.25">
      <c r="A26" s="21"/>
      <c r="B26" s="27" t="s">
        <v>42</v>
      </c>
      <c r="C26" s="43">
        <v>109</v>
      </c>
      <c r="D26" s="21" t="str">
        <f>VLOOKUP(B26,'[1]Resumen'!$B$7:$D$156,3,0)</f>
        <v>Unidad</v>
      </c>
      <c r="E26" s="35">
        <f>VLOOKUP(B26,'[1]Resumen'!B$7:E$156,4,FALSE)</f>
        <v>2.3</v>
      </c>
      <c r="F26" s="35">
        <f t="shared" si="1"/>
        <v>250.7</v>
      </c>
      <c r="G26" s="21"/>
    </row>
    <row r="27" spans="1:7" ht="14.25">
      <c r="A27" s="21"/>
      <c r="B27" s="24" t="s">
        <v>131</v>
      </c>
      <c r="C27" s="43">
        <v>109</v>
      </c>
      <c r="D27" s="21" t="str">
        <f>VLOOKUP(B27,'[1]Resumen'!$B$7:$D$156,3,0)</f>
        <v>Unidad</v>
      </c>
      <c r="E27" s="35">
        <f>VLOOKUP(B27,'[1]Resumen'!B$7:E$156,4,FALSE)</f>
        <v>10</v>
      </c>
      <c r="F27" s="35">
        <f t="shared" si="1"/>
        <v>1090</v>
      </c>
      <c r="G27" s="21"/>
    </row>
    <row r="28" spans="1:7" ht="14.25">
      <c r="A28" s="21"/>
      <c r="B28" s="21" t="s">
        <v>48</v>
      </c>
      <c r="C28" s="43">
        <v>218</v>
      </c>
      <c r="D28" s="21" t="str">
        <f>VLOOKUP(B28,'[1]Resumen'!$B$7:$D$156,3,0)</f>
        <v>Unidad</v>
      </c>
      <c r="E28" s="35">
        <f>VLOOKUP(B28,'[1]Resumen'!B$7:E$156,4,FALSE)</f>
        <v>10</v>
      </c>
      <c r="F28" s="35">
        <f t="shared" si="1"/>
        <v>2180</v>
      </c>
      <c r="G28" s="25"/>
    </row>
    <row r="29" spans="1:7" ht="14.25">
      <c r="A29" s="21"/>
      <c r="B29" s="26" t="s">
        <v>81</v>
      </c>
      <c r="C29" s="43">
        <v>109</v>
      </c>
      <c r="D29" s="21" t="str">
        <f>VLOOKUP(B29,'[1]Resumen'!$B$7:$D$156,3,0)</f>
        <v>Unidad</v>
      </c>
      <c r="E29" s="35">
        <f>VLOOKUP(B29,'[1]Resumen'!B$7:E$156,4,FALSE)</f>
        <v>3.86</v>
      </c>
      <c r="F29" s="35">
        <f t="shared" si="1"/>
        <v>420.74</v>
      </c>
      <c r="G29" s="30"/>
    </row>
    <row r="30" spans="1:7" ht="14.25">
      <c r="A30" s="21"/>
      <c r="B30" s="21" t="s">
        <v>89</v>
      </c>
      <c r="C30" s="43">
        <v>109</v>
      </c>
      <c r="D30" s="21" t="str">
        <f>VLOOKUP(B30,'[1]Resumen'!$B$7:$D$156,3,0)</f>
        <v>Unidad</v>
      </c>
      <c r="E30" s="35">
        <f>VLOOKUP(B30,'[1]Resumen'!B$7:E$156,4,FALSE)</f>
        <v>25</v>
      </c>
      <c r="F30" s="35">
        <f t="shared" si="1"/>
        <v>2725</v>
      </c>
      <c r="G30" s="25"/>
    </row>
    <row r="31" spans="1:7" ht="14.25">
      <c r="A31" s="21"/>
      <c r="B31" s="21" t="s">
        <v>100</v>
      </c>
      <c r="C31" s="43">
        <v>109</v>
      </c>
      <c r="D31" s="21" t="str">
        <f>VLOOKUP(B31,'[1]Resumen'!$B$7:$D$156,3,0)</f>
        <v>Rollo</v>
      </c>
      <c r="E31" s="35">
        <f>VLOOKUP(B31,'[1]Resumen'!B$7:E$156,4,FALSE)</f>
        <v>6</v>
      </c>
      <c r="F31" s="35">
        <f t="shared" si="1"/>
        <v>654</v>
      </c>
      <c r="G31" s="25"/>
    </row>
    <row r="32" spans="1:7" ht="14.25">
      <c r="A32" s="21"/>
      <c r="B32" s="21" t="s">
        <v>27</v>
      </c>
      <c r="C32" s="43">
        <v>1.09</v>
      </c>
      <c r="D32" s="21" t="str">
        <f>VLOOKUP(B32,'[1]Resumen'!$B$7:$D$156,3,0)</f>
        <v>Unidad</v>
      </c>
      <c r="E32" s="35">
        <f>VLOOKUP(B32,'[1]Resumen'!B$7:E$156,4,FALSE)</f>
        <v>107.4</v>
      </c>
      <c r="F32" s="35">
        <f t="shared" si="1"/>
        <v>117.06600000000002</v>
      </c>
      <c r="G32" s="25"/>
    </row>
    <row r="33" spans="1:7" ht="14.25">
      <c r="A33" s="21"/>
      <c r="B33" s="26" t="s">
        <v>109</v>
      </c>
      <c r="C33" s="43">
        <v>5</v>
      </c>
      <c r="D33" s="21" t="str">
        <f>VLOOKUP(B33,'[1]Resumen'!$B$7:$D$156,3,0)</f>
        <v>Gln</v>
      </c>
      <c r="E33" s="35">
        <f>VLOOKUP(B33,'[1]Resumen'!B$7:E$156,4,FALSE)</f>
        <v>6.03</v>
      </c>
      <c r="F33" s="35">
        <f t="shared" si="1"/>
        <v>30.150000000000002</v>
      </c>
      <c r="G33" s="25"/>
    </row>
    <row r="34" spans="1:8" ht="15">
      <c r="A34" s="21"/>
      <c r="B34" s="21"/>
      <c r="C34" s="36"/>
      <c r="D34" s="21"/>
      <c r="E34" s="37" t="s">
        <v>12</v>
      </c>
      <c r="F34" s="37">
        <f>SUM(F23:F33)</f>
        <v>16147.326000000001</v>
      </c>
      <c r="G34" s="216" t="s">
        <v>22</v>
      </c>
      <c r="H34" s="39">
        <f>SUM(F34/2)</f>
        <v>8073.6630000000005</v>
      </c>
    </row>
    <row r="35" spans="1:7" ht="15">
      <c r="A35" s="20" t="s">
        <v>49</v>
      </c>
      <c r="B35" s="21"/>
      <c r="C35" s="34" t="s">
        <v>182</v>
      </c>
      <c r="D35" s="21" t="s">
        <v>160</v>
      </c>
      <c r="E35" s="35"/>
      <c r="F35" s="35"/>
      <c r="G35" s="21"/>
    </row>
    <row r="36" spans="1:7" ht="14.25">
      <c r="A36" s="21" t="s">
        <v>20</v>
      </c>
      <c r="B36" s="21"/>
      <c r="C36" s="35"/>
      <c r="D36" s="21"/>
      <c r="E36" s="35"/>
      <c r="F36" s="35"/>
      <c r="G36" s="21"/>
    </row>
    <row r="37" spans="1:7" ht="14.25">
      <c r="A37" s="21"/>
      <c r="B37" s="21" t="s">
        <v>24</v>
      </c>
      <c r="C37" s="43">
        <v>218</v>
      </c>
      <c r="D37" s="21" t="s">
        <v>7</v>
      </c>
      <c r="E37" s="35">
        <f>VLOOKUP(B37,'[1]Resumen'!B$7:E$156,4,FALSE)</f>
        <v>186</v>
      </c>
      <c r="F37" s="35">
        <f>E37*C37</f>
        <v>40548</v>
      </c>
      <c r="G37" s="21"/>
    </row>
    <row r="38" spans="1:8" ht="15">
      <c r="A38" s="21"/>
      <c r="B38" s="21"/>
      <c r="C38" s="36"/>
      <c r="D38" s="21"/>
      <c r="E38" s="37" t="s">
        <v>12</v>
      </c>
      <c r="F38" s="37">
        <f>SUM(F37:F37)</f>
        <v>40548</v>
      </c>
      <c r="G38" s="20" t="s">
        <v>20</v>
      </c>
      <c r="H38" s="39">
        <f>SUM(F38/2)</f>
        <v>20274</v>
      </c>
    </row>
    <row r="39" spans="1:7" ht="14.25">
      <c r="A39" s="21" t="s">
        <v>22</v>
      </c>
      <c r="B39" s="21"/>
      <c r="C39" s="35"/>
      <c r="D39" s="21"/>
      <c r="E39" s="35"/>
      <c r="F39" s="35"/>
      <c r="G39" s="21"/>
    </row>
    <row r="40" spans="1:7" ht="14.25">
      <c r="A40" s="21"/>
      <c r="B40" s="24" t="s">
        <v>124</v>
      </c>
      <c r="C40" s="43">
        <v>114</v>
      </c>
      <c r="D40" s="21" t="s">
        <v>7</v>
      </c>
      <c r="E40" s="35">
        <f>VLOOKUP(B40,'[1]Resumen'!B$7:E$156,4,FALSE)</f>
        <v>10.7</v>
      </c>
      <c r="F40" s="35">
        <f>E40*C40</f>
        <v>1219.8</v>
      </c>
      <c r="G40" s="30"/>
    </row>
    <row r="41" spans="1:8" ht="15">
      <c r="A41" s="21"/>
      <c r="B41" s="21"/>
      <c r="C41" s="36"/>
      <c r="D41" s="21"/>
      <c r="E41" s="37" t="s">
        <v>12</v>
      </c>
      <c r="F41" s="37">
        <f>SUM(F40)</f>
        <v>1219.8</v>
      </c>
      <c r="G41" s="216" t="s">
        <v>22</v>
      </c>
      <c r="H41" s="39">
        <f>SUM(F41/2)</f>
        <v>609.9</v>
      </c>
    </row>
    <row r="42" spans="1:9" ht="15">
      <c r="A42" s="21"/>
      <c r="B42" s="21" t="s">
        <v>8</v>
      </c>
      <c r="C42" s="611"/>
      <c r="D42" s="611"/>
      <c r="E42" s="459" t="s">
        <v>5</v>
      </c>
      <c r="F42" s="460">
        <f>SUM(F41+F38+F34+F21+F17)</f>
        <v>139804.206</v>
      </c>
      <c r="G42" s="25"/>
      <c r="H42" s="319">
        <f>SUM(H17:H41)</f>
        <v>69902.103</v>
      </c>
      <c r="I42" s="320"/>
    </row>
    <row r="43" spans="1:7" ht="15">
      <c r="A43" s="20" t="s">
        <v>50</v>
      </c>
      <c r="B43" s="21"/>
      <c r="C43" s="21"/>
      <c r="D43" s="21"/>
      <c r="E43" s="38"/>
      <c r="F43" s="38"/>
      <c r="G43" s="21"/>
    </row>
    <row r="44" spans="1:7" ht="14.25">
      <c r="A44" s="21" t="s">
        <v>91</v>
      </c>
      <c r="B44" s="21"/>
      <c r="C44" s="21"/>
      <c r="D44" s="21"/>
      <c r="E44" s="38"/>
      <c r="F44" s="38"/>
      <c r="G44" s="21"/>
    </row>
    <row r="45" spans="1:7" ht="14.25">
      <c r="A45" s="21"/>
      <c r="B45" s="21" t="s">
        <v>191</v>
      </c>
      <c r="C45" s="23">
        <v>1</v>
      </c>
      <c r="D45" s="21" t="s">
        <v>51</v>
      </c>
      <c r="E45" s="38">
        <v>3000</v>
      </c>
      <c r="F45" s="38">
        <f>E45*C45</f>
        <v>3000</v>
      </c>
      <c r="G45" s="21"/>
    </row>
    <row r="46" spans="1:7" ht="14.25">
      <c r="A46" s="21" t="s">
        <v>52</v>
      </c>
      <c r="B46" s="21"/>
      <c r="C46" s="23"/>
      <c r="D46" s="21"/>
      <c r="E46" s="38"/>
      <c r="F46" s="38"/>
      <c r="G46" s="21"/>
    </row>
    <row r="47" spans="1:7" ht="14.25">
      <c r="A47" s="21"/>
      <c r="B47" s="21" t="s">
        <v>191</v>
      </c>
      <c r="C47" s="23">
        <v>5</v>
      </c>
      <c r="D47" s="21" t="s">
        <v>51</v>
      </c>
      <c r="E47" s="38">
        <f>E45</f>
        <v>3000</v>
      </c>
      <c r="F47" s="38">
        <f>E47*C47</f>
        <v>15000</v>
      </c>
      <c r="G47" s="21"/>
    </row>
    <row r="48" spans="1:7" ht="14.25">
      <c r="A48" s="21" t="s">
        <v>53</v>
      </c>
      <c r="B48" s="21"/>
      <c r="C48" s="23"/>
      <c r="D48" s="21"/>
      <c r="E48" s="38"/>
      <c r="F48" s="38"/>
      <c r="G48" s="21"/>
    </row>
    <row r="49" spans="1:7" ht="14.25">
      <c r="A49" s="21"/>
      <c r="B49" s="21" t="s">
        <v>191</v>
      </c>
      <c r="C49" s="23">
        <v>1</v>
      </c>
      <c r="D49" s="21" t="s">
        <v>51</v>
      </c>
      <c r="E49" s="38">
        <f>E45</f>
        <v>3000</v>
      </c>
      <c r="F49" s="38">
        <f>E49*C49</f>
        <v>3000</v>
      </c>
      <c r="G49" s="21"/>
    </row>
    <row r="50" spans="1:7" ht="14.25">
      <c r="A50" s="21" t="s">
        <v>111</v>
      </c>
      <c r="B50" s="21"/>
      <c r="C50" s="23"/>
      <c r="D50" s="21"/>
      <c r="E50" s="38"/>
      <c r="F50" s="38"/>
      <c r="G50" s="21"/>
    </row>
    <row r="51" spans="1:7" ht="14.25">
      <c r="A51" s="21"/>
      <c r="B51" s="21" t="s">
        <v>191</v>
      </c>
      <c r="C51" s="23">
        <v>1</v>
      </c>
      <c r="D51" s="21" t="s">
        <v>51</v>
      </c>
      <c r="E51" s="38">
        <f>E45</f>
        <v>3000</v>
      </c>
      <c r="F51" s="38">
        <f>E51*C51</f>
        <v>3000</v>
      </c>
      <c r="G51" s="21"/>
    </row>
    <row r="52" spans="1:8" ht="15">
      <c r="A52" s="21"/>
      <c r="B52" s="21"/>
      <c r="C52" s="461" t="s">
        <v>159</v>
      </c>
      <c r="D52" s="462"/>
      <c r="E52" s="460"/>
      <c r="F52" s="460">
        <f>SUM(F45:F51)</f>
        <v>24000</v>
      </c>
      <c r="G52" s="21"/>
      <c r="H52" s="39">
        <f>SUM(F52/2)</f>
        <v>12000</v>
      </c>
    </row>
    <row r="53" spans="1:7" ht="15">
      <c r="A53" s="21"/>
      <c r="B53" s="21"/>
      <c r="C53" s="17"/>
      <c r="D53" s="20"/>
      <c r="E53" s="41"/>
      <c r="F53" s="37"/>
      <c r="G53" s="21"/>
    </row>
    <row r="54" spans="1:7" ht="15">
      <c r="A54" s="20" t="s">
        <v>280</v>
      </c>
      <c r="B54" s="20"/>
      <c r="C54" s="17"/>
      <c r="D54" s="20"/>
      <c r="E54" s="41"/>
      <c r="F54" s="37"/>
      <c r="G54" s="21"/>
    </row>
    <row r="55" spans="1:8" ht="15.75" thickBot="1">
      <c r="A55" s="21" t="s">
        <v>275</v>
      </c>
      <c r="B55" s="21"/>
      <c r="C55" s="17"/>
      <c r="D55" s="20"/>
      <c r="E55" s="460" t="s">
        <v>56</v>
      </c>
      <c r="F55" s="463">
        <v>47770</v>
      </c>
      <c r="G55" s="21"/>
      <c r="H55" s="75">
        <f>SUM(F55/2)</f>
        <v>23885</v>
      </c>
    </row>
    <row r="56" spans="1:7" ht="16.5" thickBot="1" thickTop="1">
      <c r="A56" s="21"/>
      <c r="B56" s="21"/>
      <c r="C56" s="17"/>
      <c r="D56" s="20"/>
      <c r="E56" s="41"/>
      <c r="F56" s="39"/>
      <c r="G56" s="21"/>
    </row>
    <row r="57" spans="1:9" ht="16.5" thickBot="1">
      <c r="A57" s="21"/>
      <c r="B57" s="21"/>
      <c r="C57" s="17"/>
      <c r="D57" s="20"/>
      <c r="E57" s="41"/>
      <c r="F57" s="37"/>
      <c r="G57" s="21"/>
      <c r="I57" s="321">
        <v>105787</v>
      </c>
    </row>
    <row r="58" spans="1:10" ht="16.5" customHeight="1">
      <c r="A58" s="21"/>
      <c r="B58" s="613" t="s">
        <v>261</v>
      </c>
      <c r="C58" s="614"/>
      <c r="D58" s="614"/>
      <c r="E58" s="614"/>
      <c r="F58" s="321">
        <f>SUM(F42+F52+F55)</f>
        <v>211574.206</v>
      </c>
      <c r="G58" s="322">
        <f>SUM(F58/20.2366)</f>
        <v>10455.027326724845</v>
      </c>
      <c r="H58" s="607">
        <f>SUM(H42:H55)</f>
        <v>105787.103</v>
      </c>
      <c r="I58" s="464">
        <f>SUM(G58/2)</f>
        <v>5227.513663362422</v>
      </c>
      <c r="J58" s="584" t="s">
        <v>450</v>
      </c>
    </row>
    <row r="59" spans="1:8" ht="14.25" customHeight="1" thickBot="1">
      <c r="A59" s="21"/>
      <c r="B59" s="609" t="s">
        <v>339</v>
      </c>
      <c r="C59" s="610"/>
      <c r="D59" s="610"/>
      <c r="E59" s="610"/>
      <c r="F59" s="610"/>
      <c r="G59" s="610"/>
      <c r="H59" s="608"/>
    </row>
    <row r="60" spans="1:12" ht="14.25">
      <c r="A60" s="21"/>
      <c r="B60" s="24"/>
      <c r="C60" s="24"/>
      <c r="D60" s="24"/>
      <c r="E60" s="38"/>
      <c r="F60" s="38"/>
      <c r="G60" s="24"/>
      <c r="J60" s="585" t="s">
        <v>451</v>
      </c>
      <c r="K60" s="585"/>
      <c r="L60" s="585"/>
    </row>
    <row r="61" spans="1:7" ht="15">
      <c r="A61" s="21"/>
      <c r="B61" s="254"/>
      <c r="C61" s="186"/>
      <c r="D61" s="24"/>
      <c r="E61" s="38"/>
      <c r="F61" s="38"/>
      <c r="G61" s="186">
        <f>SUM(F58/2)</f>
        <v>105787.103</v>
      </c>
    </row>
    <row r="62" spans="1:7" ht="14.25">
      <c r="A62" s="21"/>
      <c r="B62" s="24"/>
      <c r="C62" s="24"/>
      <c r="D62" s="24"/>
      <c r="E62" s="38"/>
      <c r="F62" s="38"/>
      <c r="G62" s="24"/>
    </row>
    <row r="63" spans="1:7" ht="14.25">
      <c r="A63" s="21"/>
      <c r="B63" s="21"/>
      <c r="C63" s="21"/>
      <c r="D63" s="21"/>
      <c r="E63" s="35"/>
      <c r="F63" s="35"/>
      <c r="G63" s="21"/>
    </row>
    <row r="64" spans="1:7" ht="14.25">
      <c r="A64" s="21"/>
      <c r="B64" s="21"/>
      <c r="C64" s="21"/>
      <c r="D64" s="21"/>
      <c r="E64" s="35"/>
      <c r="F64" s="35"/>
      <c r="G64" s="21"/>
    </row>
    <row r="65" spans="1:7" ht="14.25">
      <c r="A65" s="21"/>
      <c r="B65" s="21"/>
      <c r="C65" s="21"/>
      <c r="D65" s="21"/>
      <c r="E65" s="35"/>
      <c r="F65" s="35"/>
      <c r="G65" s="21"/>
    </row>
    <row r="66" spans="1:7" ht="14.25">
      <c r="A66" s="21"/>
      <c r="B66" s="21"/>
      <c r="C66" s="21"/>
      <c r="D66" s="21"/>
      <c r="E66" s="35"/>
      <c r="F66" s="35"/>
      <c r="G66" s="21"/>
    </row>
    <row r="67" spans="1:7" ht="14.25">
      <c r="A67" s="21"/>
      <c r="B67" s="21"/>
      <c r="C67" s="21"/>
      <c r="D67" s="21"/>
      <c r="E67" s="35"/>
      <c r="F67" s="35"/>
      <c r="G67" s="21"/>
    </row>
    <row r="68" spans="1:7" ht="14.25">
      <c r="A68" s="21"/>
      <c r="B68" s="21"/>
      <c r="C68" s="21"/>
      <c r="D68" s="21"/>
      <c r="E68" s="35"/>
      <c r="F68" s="35"/>
      <c r="G68" s="21"/>
    </row>
    <row r="69" spans="1:7" ht="14.25">
      <c r="A69" s="21"/>
      <c r="B69" s="21"/>
      <c r="C69" s="21"/>
      <c r="D69" s="21"/>
      <c r="E69" s="35"/>
      <c r="F69" s="35"/>
      <c r="G69" s="21"/>
    </row>
    <row r="70" spans="1:7" ht="14.25">
      <c r="A70" s="21"/>
      <c r="B70" s="21"/>
      <c r="C70" s="21"/>
      <c r="D70" s="21"/>
      <c r="E70" s="35"/>
      <c r="F70" s="35"/>
      <c r="G70" s="21"/>
    </row>
    <row r="71" spans="1:7" ht="14.25">
      <c r="A71" s="21"/>
      <c r="B71" s="21"/>
      <c r="C71" s="21"/>
      <c r="D71" s="21"/>
      <c r="E71" s="35"/>
      <c r="F71" s="35"/>
      <c r="G71" s="21"/>
    </row>
    <row r="72" spans="1:7" ht="14.25">
      <c r="A72" s="21"/>
      <c r="B72" s="21"/>
      <c r="C72" s="21"/>
      <c r="D72" s="21"/>
      <c r="E72" s="35"/>
      <c r="F72" s="35"/>
      <c r="G72" s="21"/>
    </row>
    <row r="73" spans="1:7" ht="14.25">
      <c r="A73" s="21"/>
      <c r="B73" s="21"/>
      <c r="C73" s="21"/>
      <c r="D73" s="21"/>
      <c r="E73" s="35"/>
      <c r="F73" s="35"/>
      <c r="G73" s="21"/>
    </row>
    <row r="74" spans="1:7" ht="14.25">
      <c r="A74" s="21"/>
      <c r="B74" s="21"/>
      <c r="C74" s="21"/>
      <c r="D74" s="21"/>
      <c r="E74" s="35"/>
      <c r="F74" s="35"/>
      <c r="G74" s="21"/>
    </row>
    <row r="75" spans="1:7" ht="14.25">
      <c r="A75" s="21"/>
      <c r="B75" s="21"/>
      <c r="C75" s="21"/>
      <c r="D75" s="21"/>
      <c r="E75" s="35"/>
      <c r="F75" s="35"/>
      <c r="G75" s="21"/>
    </row>
    <row r="76" spans="1:7" ht="14.25">
      <c r="A76" s="21"/>
      <c r="B76" s="21"/>
      <c r="C76" s="21"/>
      <c r="D76" s="21"/>
      <c r="E76" s="35"/>
      <c r="F76" s="35"/>
      <c r="G76" s="21"/>
    </row>
    <row r="77" spans="1:7" ht="14.25">
      <c r="A77" s="21"/>
      <c r="B77" s="21"/>
      <c r="C77" s="21"/>
      <c r="D77" s="21"/>
      <c r="E77" s="35"/>
      <c r="F77" s="35"/>
      <c r="G77" s="21"/>
    </row>
  </sheetData>
  <sheetProtection/>
  <mergeCells count="5">
    <mergeCell ref="H58:H59"/>
    <mergeCell ref="B59:G59"/>
    <mergeCell ref="C42:D42"/>
    <mergeCell ref="A6:G6"/>
    <mergeCell ref="B58:E58"/>
  </mergeCells>
  <printOptions horizontalCentered="1" verticalCentered="1"/>
  <pageMargins left="0.3937007874015748" right="0.2362204724409449" top="0.7874015748031497" bottom="1.06" header="0.3937007874015748" footer="0.7480314960629921"/>
  <pageSetup fitToHeight="6" horizontalDpi="180" verticalDpi="180" orientation="portrait" scale="70" r:id="rId1"/>
  <headerFooter alignWithMargins="0">
    <oddHeader>&amp;LProyecto de Agua Potable.
Estudio de Factibilidad 2,008&amp;RComunidad  Mongallo/Negrowas
Municipio Siuna RAAN</oddHeader>
    <oddFooter>&amp;L&amp;F
&amp;D&amp;C&amp;P&amp;RAPLV - Rio Blanco</oddFooter>
  </headerFooter>
  <ignoredErrors>
    <ignoredError sqref="C3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J23"/>
  <sheetViews>
    <sheetView workbookViewId="0" topLeftCell="A1">
      <selection activeCell="G20" sqref="G20"/>
    </sheetView>
  </sheetViews>
  <sheetFormatPr defaultColWidth="11.421875" defaultRowHeight="12.75"/>
  <cols>
    <col min="1" max="1" width="19.8515625" style="0" customWidth="1"/>
    <col min="2" max="2" width="28.00390625" style="0" customWidth="1"/>
    <col min="4" max="4" width="7.28125" style="0" customWidth="1"/>
    <col min="5" max="5" width="14.421875" style="0" customWidth="1"/>
    <col min="6" max="6" width="22.7109375" style="0" customWidth="1"/>
  </cols>
  <sheetData>
    <row r="1" spans="1:10" ht="18">
      <c r="A1" s="150" t="s">
        <v>278</v>
      </c>
      <c r="B1" s="150"/>
      <c r="C1" s="150"/>
      <c r="D1" s="150"/>
      <c r="E1" s="150"/>
      <c r="F1" s="150"/>
      <c r="G1" s="148"/>
      <c r="H1" s="148"/>
      <c r="I1" s="148"/>
      <c r="J1" s="148"/>
    </row>
    <row r="2" spans="1:10" ht="18">
      <c r="A2" s="150" t="s">
        <v>283</v>
      </c>
      <c r="B2" s="150"/>
      <c r="C2" s="150"/>
      <c r="D2" s="150"/>
      <c r="E2" s="150"/>
      <c r="F2" s="150"/>
      <c r="G2" s="149"/>
      <c r="H2" s="149"/>
      <c r="I2" s="149"/>
      <c r="J2" s="149"/>
    </row>
    <row r="3" spans="1:10" ht="18">
      <c r="A3" s="150" t="s">
        <v>284</v>
      </c>
      <c r="B3" s="150"/>
      <c r="C3" s="150"/>
      <c r="D3" s="150"/>
      <c r="E3" s="150"/>
      <c r="F3" s="150"/>
      <c r="G3" s="149"/>
      <c r="H3" s="149"/>
      <c r="I3" s="149"/>
      <c r="J3" s="149"/>
    </row>
    <row r="4" spans="1:10" ht="18">
      <c r="A4" s="150"/>
      <c r="B4" s="150"/>
      <c r="C4" s="150"/>
      <c r="D4" s="150"/>
      <c r="E4" s="150"/>
      <c r="F4" s="150"/>
      <c r="G4" s="149"/>
      <c r="H4" s="149"/>
      <c r="I4" s="149"/>
      <c r="J4" s="149"/>
    </row>
    <row r="5" spans="1:10" ht="18">
      <c r="A5" s="149"/>
      <c r="B5" s="149"/>
      <c r="C5" s="149"/>
      <c r="D5" s="149"/>
      <c r="E5" s="149"/>
      <c r="F5" s="149"/>
      <c r="G5" s="149"/>
      <c r="H5" s="149"/>
      <c r="I5" s="149"/>
      <c r="J5" s="149"/>
    </row>
    <row r="6" spans="1:6" ht="15.75" thickBot="1">
      <c r="A6" s="18"/>
      <c r="B6" s="18"/>
      <c r="C6" s="18"/>
      <c r="D6" s="18"/>
      <c r="E6" s="18"/>
      <c r="F6" s="18"/>
    </row>
    <row r="7" spans="1:6" ht="17.25" thickBot="1" thickTop="1">
      <c r="A7" s="139" t="s">
        <v>288</v>
      </c>
      <c r="B7" s="137"/>
      <c r="C7" s="137"/>
      <c r="D7" s="137"/>
      <c r="E7" s="138"/>
      <c r="F7" s="140"/>
    </row>
    <row r="8" spans="1:6" ht="15.75" thickTop="1">
      <c r="A8" s="141" t="s">
        <v>91</v>
      </c>
      <c r="B8" s="58"/>
      <c r="C8" s="58"/>
      <c r="D8" s="58"/>
      <c r="E8" s="142"/>
      <c r="F8" s="143"/>
    </row>
    <row r="9" spans="1:7" ht="15">
      <c r="A9" s="141"/>
      <c r="B9" s="58" t="s">
        <v>191</v>
      </c>
      <c r="C9" s="144">
        <v>4</v>
      </c>
      <c r="D9" s="58" t="s">
        <v>51</v>
      </c>
      <c r="E9" s="232">
        <v>2500</v>
      </c>
      <c r="F9" s="233">
        <f>E9*C9</f>
        <v>10000</v>
      </c>
      <c r="G9" s="234"/>
    </row>
    <row r="10" spans="1:7" ht="15">
      <c r="A10" s="141" t="s">
        <v>52</v>
      </c>
      <c r="B10" s="58"/>
      <c r="C10" s="145"/>
      <c r="D10" s="58"/>
      <c r="E10" s="232"/>
      <c r="F10" s="233"/>
      <c r="G10" s="234"/>
    </row>
    <row r="11" spans="1:7" ht="15">
      <c r="A11" s="141"/>
      <c r="B11" s="58" t="s">
        <v>190</v>
      </c>
      <c r="C11" s="145">
        <v>8</v>
      </c>
      <c r="D11" s="58" t="s">
        <v>51</v>
      </c>
      <c r="E11" s="232">
        <v>7500</v>
      </c>
      <c r="F11" s="233">
        <f>E11*C11</f>
        <v>60000</v>
      </c>
      <c r="G11" s="234"/>
    </row>
    <row r="12" spans="1:7" ht="15">
      <c r="A12" s="141" t="s">
        <v>53</v>
      </c>
      <c r="B12" s="58"/>
      <c r="C12" s="145"/>
      <c r="D12" s="58"/>
      <c r="E12" s="232"/>
      <c r="F12" s="233"/>
      <c r="G12" s="234"/>
    </row>
    <row r="13" spans="1:7" ht="15">
      <c r="A13" s="141"/>
      <c r="B13" s="58" t="s">
        <v>191</v>
      </c>
      <c r="C13" s="145">
        <v>7</v>
      </c>
      <c r="D13" s="58" t="s">
        <v>51</v>
      </c>
      <c r="E13" s="232">
        <v>2500</v>
      </c>
      <c r="F13" s="233">
        <f>E13*C13</f>
        <v>17500</v>
      </c>
      <c r="G13" s="234"/>
    </row>
    <row r="14" spans="1:7" ht="15">
      <c r="A14" s="141" t="s">
        <v>54</v>
      </c>
      <c r="B14" s="58"/>
      <c r="C14" s="145"/>
      <c r="D14" s="58"/>
      <c r="E14" s="232"/>
      <c r="F14" s="233"/>
      <c r="G14" s="234"/>
    </row>
    <row r="15" spans="1:7" ht="15">
      <c r="A15" s="141"/>
      <c r="B15" s="58" t="s">
        <v>192</v>
      </c>
      <c r="C15" s="145">
        <v>2</v>
      </c>
      <c r="D15" s="58" t="s">
        <v>51</v>
      </c>
      <c r="E15" s="232">
        <v>12000</v>
      </c>
      <c r="F15" s="233">
        <f>E15*C15</f>
        <v>24000</v>
      </c>
      <c r="G15" s="234"/>
    </row>
    <row r="16" spans="1:7" ht="15">
      <c r="A16" s="141" t="s">
        <v>111</v>
      </c>
      <c r="B16" s="58"/>
      <c r="C16" s="145"/>
      <c r="D16" s="58"/>
      <c r="E16" s="232"/>
      <c r="F16" s="233"/>
      <c r="G16" s="234"/>
    </row>
    <row r="17" spans="1:7" ht="15">
      <c r="A17" s="141"/>
      <c r="B17" s="58" t="s">
        <v>191</v>
      </c>
      <c r="C17" s="145">
        <v>1</v>
      </c>
      <c r="D17" s="58" t="s">
        <v>51</v>
      </c>
      <c r="E17" s="232">
        <f>E9</f>
        <v>2500</v>
      </c>
      <c r="F17" s="233">
        <f>E17*C17</f>
        <v>2500</v>
      </c>
      <c r="G17" s="234"/>
    </row>
    <row r="18" spans="1:7" ht="15">
      <c r="A18" s="141" t="s">
        <v>55</v>
      </c>
      <c r="B18" s="58"/>
      <c r="C18" s="145"/>
      <c r="D18" s="58"/>
      <c r="E18" s="232"/>
      <c r="F18" s="233"/>
      <c r="G18" s="234"/>
    </row>
    <row r="19" spans="1:7" ht="15.75" thickBot="1">
      <c r="A19" s="141"/>
      <c r="B19" s="58" t="s">
        <v>190</v>
      </c>
      <c r="C19" s="145">
        <v>8</v>
      </c>
      <c r="D19" s="58" t="s">
        <v>51</v>
      </c>
      <c r="E19" s="232">
        <v>7500</v>
      </c>
      <c r="F19" s="235">
        <f>E19*C19</f>
        <v>60000</v>
      </c>
      <c r="G19" s="234"/>
    </row>
    <row r="20" spans="1:7" ht="17.25" thickBot="1" thickTop="1">
      <c r="A20" s="146"/>
      <c r="B20" s="147" t="s">
        <v>8</v>
      </c>
      <c r="C20" s="147"/>
      <c r="D20" s="147"/>
      <c r="E20" s="236" t="s">
        <v>5</v>
      </c>
      <c r="F20" s="237">
        <f>SUM(F9:F19)</f>
        <v>174000</v>
      </c>
      <c r="G20" s="231">
        <f>SUM(F20/20.2366)</f>
        <v>8598.282320152595</v>
      </c>
    </row>
    <row r="21" spans="1:7" ht="15.75" thickTop="1">
      <c r="A21" s="2"/>
      <c r="B21" s="2"/>
      <c r="C21" s="2"/>
      <c r="D21" s="2"/>
      <c r="E21" s="48"/>
      <c r="F21" s="48"/>
      <c r="G21" s="11"/>
    </row>
    <row r="22" spans="1:7" ht="15">
      <c r="A22" s="2"/>
      <c r="B22" s="2"/>
      <c r="C22" s="2"/>
      <c r="D22" s="2"/>
      <c r="E22" s="48"/>
      <c r="F22" s="48"/>
      <c r="G22" s="11"/>
    </row>
    <row r="23" spans="1:7" ht="15.75">
      <c r="A23" s="2"/>
      <c r="B23" s="2"/>
      <c r="C23" s="2"/>
      <c r="D23" s="2"/>
      <c r="E23" s="46"/>
      <c r="F23" s="47"/>
      <c r="G23" s="11"/>
    </row>
  </sheetData>
  <printOptions horizontalCentered="1" verticalCentered="1"/>
  <pageMargins left="0.7874015748031497" right="0.31496062992125984" top="0.6692913385826772" bottom="0.984251968503937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U37"/>
  <sheetViews>
    <sheetView workbookViewId="0" topLeftCell="A7">
      <selection activeCell="A27" sqref="A27:IV33"/>
    </sheetView>
  </sheetViews>
  <sheetFormatPr defaultColWidth="11.421875" defaultRowHeight="12.75"/>
  <cols>
    <col min="1" max="1" width="9.140625" style="18" customWidth="1"/>
    <col min="2" max="2" width="45.57421875" style="18" customWidth="1"/>
    <col min="3" max="3" width="7.421875" style="18" customWidth="1"/>
    <col min="4" max="4" width="9.28125" style="18" customWidth="1"/>
    <col min="5" max="5" width="13.140625" style="18" customWidth="1"/>
    <col min="6" max="6" width="15.140625" style="18" customWidth="1"/>
    <col min="7" max="7" width="12.57421875" style="18" customWidth="1"/>
    <col min="8" max="8" width="16.28125" style="18" customWidth="1"/>
    <col min="9" max="9" width="16.00390625" style="18" customWidth="1"/>
    <col min="10" max="10" width="15.57421875" style="18" customWidth="1"/>
    <col min="11" max="11" width="15.00390625" style="18" customWidth="1"/>
    <col min="12" max="12" width="17.8515625" style="18" customWidth="1"/>
    <col min="13" max="13" width="14.28125" style="18" bestFit="1" customWidth="1"/>
    <col min="14" max="16384" width="11.421875" style="18" customWidth="1"/>
  </cols>
  <sheetData>
    <row r="1" spans="1:5" ht="15.75">
      <c r="A1" s="150" t="s">
        <v>278</v>
      </c>
      <c r="B1" s="150"/>
      <c r="C1" s="150"/>
      <c r="D1" s="150"/>
      <c r="E1" s="150"/>
    </row>
    <row r="2" spans="1:5" ht="15.75">
      <c r="A2" s="150" t="s">
        <v>283</v>
      </c>
      <c r="B2" s="150"/>
      <c r="C2" s="150"/>
      <c r="D2" s="150"/>
      <c r="E2" s="150"/>
    </row>
    <row r="3" spans="1:5" ht="15.75">
      <c r="A3" s="150" t="s">
        <v>284</v>
      </c>
      <c r="B3" s="150"/>
      <c r="C3" s="150"/>
      <c r="D3" s="150"/>
      <c r="E3" s="150"/>
    </row>
    <row r="4" spans="1:12" ht="15.75">
      <c r="A4" s="123"/>
      <c r="B4" s="124"/>
      <c r="C4" s="124"/>
      <c r="D4" s="124"/>
      <c r="E4" s="124"/>
      <c r="F4" s="124"/>
      <c r="G4" s="6"/>
      <c r="H4" s="124"/>
      <c r="I4" s="124"/>
      <c r="J4" s="124"/>
      <c r="K4" s="124"/>
      <c r="L4" s="6"/>
    </row>
    <row r="5" spans="1:12" ht="15.75">
      <c r="A5" s="616" t="s">
        <v>316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</row>
    <row r="6" spans="1:11" s="579" customFormat="1" ht="15.75">
      <c r="A6" s="579" t="s">
        <v>367</v>
      </c>
      <c r="E6" s="580"/>
      <c r="F6" s="580"/>
      <c r="H6" s="580"/>
      <c r="I6" s="580"/>
      <c r="J6" s="580"/>
      <c r="K6" s="580"/>
    </row>
    <row r="7" spans="1:12" ht="16.5" thickBot="1">
      <c r="A7" s="125"/>
      <c r="H7" s="615"/>
      <c r="I7" s="615"/>
      <c r="J7" s="615"/>
      <c r="K7" s="615"/>
      <c r="L7" s="126">
        <v>20.2366</v>
      </c>
    </row>
    <row r="8" spans="1:12" ht="84" customHeight="1" thickBot="1" thickTop="1">
      <c r="A8" s="437" t="s">
        <v>57</v>
      </c>
      <c r="B8" s="204" t="s">
        <v>1</v>
      </c>
      <c r="C8" s="203" t="s">
        <v>2</v>
      </c>
      <c r="D8" s="205" t="s">
        <v>3</v>
      </c>
      <c r="E8" s="203" t="s">
        <v>92</v>
      </c>
      <c r="F8" s="203" t="s">
        <v>113</v>
      </c>
      <c r="G8" s="203" t="s">
        <v>166</v>
      </c>
      <c r="H8" s="203" t="s">
        <v>168</v>
      </c>
      <c r="I8" s="203" t="s">
        <v>167</v>
      </c>
      <c r="J8" s="203" t="s">
        <v>169</v>
      </c>
      <c r="K8" s="206" t="s">
        <v>93</v>
      </c>
      <c r="L8" s="206" t="s">
        <v>94</v>
      </c>
    </row>
    <row r="9" spans="1:13" ht="15.75" thickTop="1">
      <c r="A9" s="438">
        <v>1</v>
      </c>
      <c r="B9" s="207" t="s">
        <v>172</v>
      </c>
      <c r="C9" s="409">
        <v>1</v>
      </c>
      <c r="D9" s="127" t="s">
        <v>3</v>
      </c>
      <c r="E9" s="81">
        <v>60</v>
      </c>
      <c r="F9" s="224">
        <f>E9*$C$23</f>
        <v>30000</v>
      </c>
      <c r="G9" s="225">
        <v>50</v>
      </c>
      <c r="H9" s="224">
        <f aca="true" t="shared" si="0" ref="H9:H20">G9*$C$24</f>
        <v>26307.58</v>
      </c>
      <c r="I9" s="226">
        <v>10</v>
      </c>
      <c r="J9" s="226">
        <f aca="true" t="shared" si="1" ref="J9:J20">I9*$C$25</f>
        <v>7290</v>
      </c>
      <c r="K9" s="227">
        <f aca="true" t="shared" si="2" ref="K9:K20">F9+H9+J9</f>
        <v>63597.58</v>
      </c>
      <c r="L9" s="229">
        <f aca="true" t="shared" si="3" ref="L9:L20">K9/$L$7</f>
        <v>3142.7008489568407</v>
      </c>
      <c r="M9" s="19"/>
    </row>
    <row r="10" spans="1:13" s="73" customFormat="1" ht="15">
      <c r="A10" s="439">
        <v>2</v>
      </c>
      <c r="B10" s="208" t="s">
        <v>173</v>
      </c>
      <c r="C10" s="410">
        <v>2</v>
      </c>
      <c r="D10" s="129" t="s">
        <v>3</v>
      </c>
      <c r="E10" s="33">
        <v>10</v>
      </c>
      <c r="F10" s="228">
        <f aca="true" t="shared" si="4" ref="F10:F20">E10*$C$23</f>
        <v>5000</v>
      </c>
      <c r="G10" s="228">
        <v>5</v>
      </c>
      <c r="H10" s="228">
        <f t="shared" si="0"/>
        <v>2630.7580000000003</v>
      </c>
      <c r="I10" s="227">
        <v>0</v>
      </c>
      <c r="J10" s="227">
        <f t="shared" si="1"/>
        <v>0</v>
      </c>
      <c r="K10" s="227">
        <f>F10+H10+J10</f>
        <v>7630.758</v>
      </c>
      <c r="L10" s="230">
        <f>K10/$L$7</f>
        <v>377.07707816530444</v>
      </c>
      <c r="M10" s="78"/>
    </row>
    <row r="11" spans="1:13" ht="15">
      <c r="A11" s="439">
        <v>3</v>
      </c>
      <c r="B11" s="208" t="s">
        <v>193</v>
      </c>
      <c r="C11" s="411">
        <v>4131</v>
      </c>
      <c r="D11" s="129" t="s">
        <v>90</v>
      </c>
      <c r="E11" s="33">
        <v>30</v>
      </c>
      <c r="F11" s="228">
        <f t="shared" si="4"/>
        <v>15000</v>
      </c>
      <c r="G11" s="228">
        <v>30</v>
      </c>
      <c r="H11" s="228">
        <f t="shared" si="0"/>
        <v>15784.548</v>
      </c>
      <c r="I11" s="227">
        <v>0</v>
      </c>
      <c r="J11" s="227">
        <f t="shared" si="1"/>
        <v>0</v>
      </c>
      <c r="K11" s="227">
        <f t="shared" si="2"/>
        <v>30784.548000000003</v>
      </c>
      <c r="L11" s="230">
        <f t="shared" si="3"/>
        <v>1521.2312344959134</v>
      </c>
      <c r="M11" s="78"/>
    </row>
    <row r="12" spans="1:13" ht="15">
      <c r="A12" s="439">
        <v>4</v>
      </c>
      <c r="B12" s="208" t="s">
        <v>194</v>
      </c>
      <c r="C12" s="411">
        <v>871</v>
      </c>
      <c r="D12" s="129" t="s">
        <v>90</v>
      </c>
      <c r="E12" s="33">
        <v>30</v>
      </c>
      <c r="F12" s="228">
        <f t="shared" si="4"/>
        <v>15000</v>
      </c>
      <c r="G12" s="228">
        <v>30</v>
      </c>
      <c r="H12" s="228">
        <f t="shared" si="0"/>
        <v>15784.548</v>
      </c>
      <c r="I12" s="227">
        <v>5</v>
      </c>
      <c r="J12" s="227">
        <f t="shared" si="1"/>
        <v>3645</v>
      </c>
      <c r="K12" s="227">
        <f t="shared" si="2"/>
        <v>34429.548</v>
      </c>
      <c r="L12" s="230">
        <f t="shared" si="3"/>
        <v>1701.3504244784206</v>
      </c>
      <c r="M12" s="78"/>
    </row>
    <row r="13" spans="1:13" ht="15">
      <c r="A13" s="439">
        <v>5</v>
      </c>
      <c r="B13" s="208" t="s">
        <v>195</v>
      </c>
      <c r="C13" s="411">
        <v>5888</v>
      </c>
      <c r="D13" s="129" t="s">
        <v>90</v>
      </c>
      <c r="E13" s="33">
        <v>30</v>
      </c>
      <c r="F13" s="228">
        <f t="shared" si="4"/>
        <v>15000</v>
      </c>
      <c r="G13" s="228">
        <v>30</v>
      </c>
      <c r="H13" s="228">
        <f t="shared" si="0"/>
        <v>15784.548</v>
      </c>
      <c r="I13" s="227">
        <v>5</v>
      </c>
      <c r="J13" s="227">
        <f t="shared" si="1"/>
        <v>3645</v>
      </c>
      <c r="K13" s="227">
        <f t="shared" si="2"/>
        <v>34429.548</v>
      </c>
      <c r="L13" s="230">
        <f t="shared" si="3"/>
        <v>1701.3504244784206</v>
      </c>
      <c r="M13" s="78"/>
    </row>
    <row r="14" spans="1:13" ht="15">
      <c r="A14" s="439">
        <v>6</v>
      </c>
      <c r="B14" s="208" t="s">
        <v>197</v>
      </c>
      <c r="C14" s="411">
        <f>C11</f>
        <v>4131</v>
      </c>
      <c r="D14" s="129" t="s">
        <v>90</v>
      </c>
      <c r="E14" s="33">
        <v>0</v>
      </c>
      <c r="F14" s="228">
        <f t="shared" si="4"/>
        <v>0</v>
      </c>
      <c r="G14" s="228">
        <v>14</v>
      </c>
      <c r="H14" s="228">
        <f t="shared" si="0"/>
        <v>7366.1224</v>
      </c>
      <c r="I14" s="227">
        <v>0</v>
      </c>
      <c r="J14" s="227">
        <f t="shared" si="1"/>
        <v>0</v>
      </c>
      <c r="K14" s="227">
        <f t="shared" si="2"/>
        <v>7366.1224</v>
      </c>
      <c r="L14" s="230">
        <f t="shared" si="3"/>
        <v>364</v>
      </c>
      <c r="M14" s="78"/>
    </row>
    <row r="15" spans="1:13" ht="15">
      <c r="A15" s="439">
        <f aca="true" t="shared" si="5" ref="A15:A20">A14+1</f>
        <v>7</v>
      </c>
      <c r="B15" s="208" t="s">
        <v>198</v>
      </c>
      <c r="C15" s="411">
        <f>C12</f>
        <v>871</v>
      </c>
      <c r="D15" s="129" t="s">
        <v>90</v>
      </c>
      <c r="E15" s="33">
        <v>0</v>
      </c>
      <c r="F15" s="228">
        <f t="shared" si="4"/>
        <v>0</v>
      </c>
      <c r="G15" s="228">
        <v>9</v>
      </c>
      <c r="H15" s="228">
        <f t="shared" si="0"/>
        <v>4735.3644</v>
      </c>
      <c r="I15" s="227">
        <v>0</v>
      </c>
      <c r="J15" s="227">
        <f t="shared" si="1"/>
        <v>0</v>
      </c>
      <c r="K15" s="227">
        <f t="shared" si="2"/>
        <v>4735.3644</v>
      </c>
      <c r="L15" s="230">
        <f t="shared" si="3"/>
        <v>234.00000000000003</v>
      </c>
      <c r="M15" s="78"/>
    </row>
    <row r="16" spans="1:13" ht="15.75">
      <c r="A16" s="439">
        <f t="shared" si="5"/>
        <v>8</v>
      </c>
      <c r="B16" s="208" t="s">
        <v>199</v>
      </c>
      <c r="C16" s="411">
        <f>C13</f>
        <v>5888</v>
      </c>
      <c r="D16" s="129" t="s">
        <v>90</v>
      </c>
      <c r="E16" s="33">
        <v>0</v>
      </c>
      <c r="F16" s="228">
        <f t="shared" si="4"/>
        <v>0</v>
      </c>
      <c r="G16" s="228">
        <v>30</v>
      </c>
      <c r="H16" s="228">
        <f t="shared" si="0"/>
        <v>15784.548</v>
      </c>
      <c r="I16" s="227">
        <v>0</v>
      </c>
      <c r="J16" s="227">
        <f t="shared" si="1"/>
        <v>0</v>
      </c>
      <c r="K16" s="227">
        <f t="shared" si="2"/>
        <v>15784.548</v>
      </c>
      <c r="L16" s="230">
        <f t="shared" si="3"/>
        <v>780.0000000000001</v>
      </c>
      <c r="M16" s="581"/>
    </row>
    <row r="17" spans="1:13" ht="15">
      <c r="A17" s="439">
        <f t="shared" si="5"/>
        <v>9</v>
      </c>
      <c r="B17" s="24" t="s">
        <v>185</v>
      </c>
      <c r="C17" s="412">
        <v>29</v>
      </c>
      <c r="D17" s="129" t="s">
        <v>132</v>
      </c>
      <c r="E17" s="33">
        <v>60</v>
      </c>
      <c r="F17" s="228">
        <f t="shared" si="4"/>
        <v>30000</v>
      </c>
      <c r="G17" s="228">
        <v>60</v>
      </c>
      <c r="H17" s="228">
        <f t="shared" si="0"/>
        <v>31569.096</v>
      </c>
      <c r="I17" s="227">
        <v>6</v>
      </c>
      <c r="J17" s="227">
        <f t="shared" si="1"/>
        <v>4374</v>
      </c>
      <c r="K17" s="227">
        <f t="shared" si="2"/>
        <v>65943.096</v>
      </c>
      <c r="L17" s="230">
        <f t="shared" si="3"/>
        <v>3258.6054969708352</v>
      </c>
      <c r="M17" s="582"/>
    </row>
    <row r="18" spans="1:15" ht="15">
      <c r="A18" s="439">
        <f t="shared" si="5"/>
        <v>10</v>
      </c>
      <c r="B18" s="208" t="s">
        <v>200</v>
      </c>
      <c r="C18" s="411">
        <v>24007.8</v>
      </c>
      <c r="D18" s="129" t="s">
        <v>90</v>
      </c>
      <c r="E18" s="33">
        <v>45</v>
      </c>
      <c r="F18" s="228">
        <f t="shared" si="4"/>
        <v>22500</v>
      </c>
      <c r="G18" s="228">
        <v>45</v>
      </c>
      <c r="H18" s="228">
        <f t="shared" si="0"/>
        <v>23676.822</v>
      </c>
      <c r="I18" s="227">
        <v>10</v>
      </c>
      <c r="J18" s="227">
        <f t="shared" si="1"/>
        <v>7290</v>
      </c>
      <c r="K18" s="227">
        <f t="shared" si="2"/>
        <v>53466.822</v>
      </c>
      <c r="L18" s="230">
        <f t="shared" si="3"/>
        <v>2642.085231708884</v>
      </c>
      <c r="M18" s="582"/>
      <c r="O18" s="19"/>
    </row>
    <row r="19" spans="1:13" ht="15.75">
      <c r="A19" s="439">
        <f t="shared" si="5"/>
        <v>11</v>
      </c>
      <c r="B19" s="208" t="s">
        <v>201</v>
      </c>
      <c r="C19" s="411">
        <f>C18</f>
        <v>24007.8</v>
      </c>
      <c r="D19" s="129" t="s">
        <v>90</v>
      </c>
      <c r="E19" s="33">
        <v>60</v>
      </c>
      <c r="F19" s="228">
        <f t="shared" si="4"/>
        <v>30000</v>
      </c>
      <c r="G19" s="228">
        <v>60</v>
      </c>
      <c r="H19" s="228">
        <f t="shared" si="0"/>
        <v>31569.096</v>
      </c>
      <c r="I19" s="227">
        <v>0</v>
      </c>
      <c r="J19" s="227">
        <f t="shared" si="1"/>
        <v>0</v>
      </c>
      <c r="K19" s="227">
        <f t="shared" si="2"/>
        <v>61569.096000000005</v>
      </c>
      <c r="L19" s="230">
        <f t="shared" si="3"/>
        <v>3042.462468991827</v>
      </c>
      <c r="M19" s="581"/>
    </row>
    <row r="20" spans="1:13" s="73" customFormat="1" ht="16.5" thickBot="1">
      <c r="A20" s="439">
        <f t="shared" si="5"/>
        <v>12</v>
      </c>
      <c r="B20" s="208" t="s">
        <v>202</v>
      </c>
      <c r="C20" s="413">
        <v>109</v>
      </c>
      <c r="D20" s="130" t="s">
        <v>3</v>
      </c>
      <c r="E20" s="128">
        <v>40</v>
      </c>
      <c r="F20" s="227">
        <f t="shared" si="4"/>
        <v>20000</v>
      </c>
      <c r="G20" s="227">
        <v>40</v>
      </c>
      <c r="H20" s="227">
        <f t="shared" si="0"/>
        <v>21046.064000000002</v>
      </c>
      <c r="I20" s="227">
        <v>5</v>
      </c>
      <c r="J20" s="227">
        <f t="shared" si="1"/>
        <v>3645</v>
      </c>
      <c r="K20" s="227">
        <f t="shared" si="2"/>
        <v>44691.064</v>
      </c>
      <c r="L20" s="230">
        <f t="shared" si="3"/>
        <v>2208.427502643725</v>
      </c>
      <c r="M20" s="76"/>
    </row>
    <row r="21" spans="1:21" ht="20.25" customHeight="1" thickBot="1" thickTop="1">
      <c r="A21" s="465"/>
      <c r="B21" s="209" t="s">
        <v>315</v>
      </c>
      <c r="C21" s="210"/>
      <c r="D21" s="210"/>
      <c r="E21" s="211">
        <f aca="true" t="shared" si="6" ref="E21:L21">SUM(E9:E20)</f>
        <v>365</v>
      </c>
      <c r="F21" s="223">
        <f t="shared" si="6"/>
        <v>182500</v>
      </c>
      <c r="G21" s="223">
        <f t="shared" si="6"/>
        <v>403</v>
      </c>
      <c r="H21" s="223">
        <f t="shared" si="6"/>
        <v>212039.0948</v>
      </c>
      <c r="I21" s="223">
        <f t="shared" si="6"/>
        <v>41</v>
      </c>
      <c r="J21" s="223">
        <f t="shared" si="6"/>
        <v>29889</v>
      </c>
      <c r="K21" s="223">
        <f>SUM(K9:K20)</f>
        <v>424428.0948</v>
      </c>
      <c r="L21" s="231">
        <f t="shared" si="6"/>
        <v>20973.29071089017</v>
      </c>
      <c r="M21" s="131"/>
      <c r="N21" s="131"/>
      <c r="O21" s="131"/>
      <c r="P21" s="131"/>
      <c r="Q21" s="131"/>
      <c r="R21" s="131"/>
      <c r="S21" s="31"/>
      <c r="T21" s="31"/>
      <c r="U21" s="31"/>
    </row>
    <row r="22" spans="9:13" ht="15.75" thickTop="1">
      <c r="I22" s="19"/>
      <c r="J22" s="19"/>
      <c r="K22" s="19"/>
      <c r="L22" s="19"/>
      <c r="M22" s="19"/>
    </row>
    <row r="23" spans="1:11" ht="15">
      <c r="A23" s="18" t="s">
        <v>95</v>
      </c>
      <c r="C23" s="53">
        <v>500</v>
      </c>
      <c r="D23" s="132"/>
      <c r="K23" s="79"/>
    </row>
    <row r="24" spans="1:11" ht="15">
      <c r="A24" s="18" t="s">
        <v>170</v>
      </c>
      <c r="C24" s="53">
        <f>(26*$L$7)</f>
        <v>526.1516</v>
      </c>
      <c r="D24" s="132"/>
      <c r="G24" s="19"/>
      <c r="I24" s="133"/>
      <c r="K24" s="134"/>
    </row>
    <row r="25" spans="1:3" ht="15">
      <c r="A25" s="18" t="s">
        <v>171</v>
      </c>
      <c r="C25" s="53">
        <v>729</v>
      </c>
    </row>
    <row r="26" spans="3:11" ht="15">
      <c r="C26" s="135"/>
      <c r="D26" s="135"/>
      <c r="E26" s="19"/>
      <c r="K26" s="19"/>
    </row>
    <row r="27" spans="2:11" ht="15.75">
      <c r="B27" s="583"/>
      <c r="K27" s="19"/>
    </row>
    <row r="30" ht="27.75" customHeight="1"/>
    <row r="34" ht="15">
      <c r="C34" s="136"/>
    </row>
    <row r="36" ht="15">
      <c r="D36" s="136"/>
    </row>
    <row r="37" ht="15">
      <c r="D37" s="136"/>
    </row>
  </sheetData>
  <sheetProtection/>
  <mergeCells count="2">
    <mergeCell ref="H7:K7"/>
    <mergeCell ref="A5:L5"/>
  </mergeCells>
  <printOptions horizontalCentered="1" verticalCentered="1"/>
  <pageMargins left="0.52" right="0.5905511811023623" top="0.7874015748031497" bottom="0.984251968503937" header="0.3937007874015748" footer="0.5905511811023623"/>
  <pageSetup horizontalDpi="300" verticalDpi="300" orientation="landscape" scale="75" r:id="rId1"/>
  <headerFooter alignWithMargins="0">
    <oddHeader>&amp;LProyecto de Agua Potable
Estudio de Factibilidad 2,008&amp;RComunidad:Mongallo/Negrowas
Municipio Siuna RAAN
</oddHeader>
    <oddFooter xml:space="preserve">&amp;L&amp;F
&amp;D&amp;C&amp;P&amp;R APLV- Rio Blanco
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J32"/>
  <sheetViews>
    <sheetView workbookViewId="0" topLeftCell="A1">
      <selection activeCell="F30" sqref="F30"/>
    </sheetView>
  </sheetViews>
  <sheetFormatPr defaultColWidth="11.57421875" defaultRowHeight="12.75"/>
  <cols>
    <col min="1" max="1" width="10.28125" style="1" customWidth="1"/>
    <col min="2" max="2" width="60.140625" style="1" customWidth="1"/>
    <col min="3" max="4" width="17.28125" style="1" customWidth="1"/>
    <col min="5" max="5" width="19.28125" style="1" customWidth="1"/>
    <col min="6" max="6" width="16.8515625" style="1" customWidth="1"/>
    <col min="7" max="7" width="16.57421875" style="1" customWidth="1"/>
    <col min="8" max="8" width="11.57421875" style="1" customWidth="1"/>
    <col min="9" max="9" width="12.140625" style="1" bestFit="1" customWidth="1"/>
    <col min="10" max="16384" width="11.57421875" style="1" customWidth="1"/>
  </cols>
  <sheetData>
    <row r="1" spans="1:8" ht="15.75">
      <c r="A1" s="621" t="s">
        <v>278</v>
      </c>
      <c r="B1" s="621"/>
      <c r="C1" s="621"/>
      <c r="D1" s="621"/>
      <c r="E1" s="621"/>
      <c r="F1" s="621"/>
      <c r="G1" s="621"/>
      <c r="H1" s="621"/>
    </row>
    <row r="2" spans="1:8" ht="15.75">
      <c r="A2" s="621" t="s">
        <v>283</v>
      </c>
      <c r="B2" s="621"/>
      <c r="C2" s="621"/>
      <c r="D2" s="621"/>
      <c r="E2" s="621"/>
      <c r="F2" s="621"/>
      <c r="G2" s="621"/>
      <c r="H2" s="621"/>
    </row>
    <row r="3" spans="1:8" ht="15.75">
      <c r="A3" s="621" t="s">
        <v>284</v>
      </c>
      <c r="B3" s="621"/>
      <c r="C3" s="621"/>
      <c r="D3" s="621"/>
      <c r="E3" s="621"/>
      <c r="F3" s="621"/>
      <c r="G3" s="621"/>
      <c r="H3" s="621"/>
    </row>
    <row r="4" spans="1:7" ht="15.75">
      <c r="A4" s="601" t="s">
        <v>368</v>
      </c>
      <c r="B4" s="601"/>
      <c r="C4" s="601"/>
      <c r="D4" s="601"/>
      <c r="E4" s="601"/>
      <c r="F4" s="601"/>
      <c r="G4" s="601"/>
    </row>
    <row r="5" spans="1:7" ht="15.75" customHeight="1">
      <c r="A5" s="625"/>
      <c r="B5" s="625"/>
      <c r="C5" s="625"/>
      <c r="D5" s="625"/>
      <c r="E5" s="625"/>
      <c r="F5" s="625"/>
      <c r="G5" s="625"/>
    </row>
    <row r="6" spans="1:6" ht="19.5" customHeight="1" thickBot="1">
      <c r="A6" s="3"/>
      <c r="D6" s="624" t="s">
        <v>257</v>
      </c>
      <c r="E6" s="624"/>
      <c r="F6" s="10">
        <v>20.2366</v>
      </c>
    </row>
    <row r="7" spans="1:7" s="2" customFormat="1" ht="31.5">
      <c r="A7" s="93" t="s">
        <v>258</v>
      </c>
      <c r="B7" s="94" t="s">
        <v>1</v>
      </c>
      <c r="C7" s="95" t="s">
        <v>287</v>
      </c>
      <c r="D7" s="96" t="s">
        <v>6</v>
      </c>
      <c r="E7" s="96" t="s">
        <v>58</v>
      </c>
      <c r="F7" s="95" t="s">
        <v>61</v>
      </c>
      <c r="G7" s="97" t="s">
        <v>313</v>
      </c>
    </row>
    <row r="8" spans="1:7" s="2" customFormat="1" ht="15.75">
      <c r="A8" s="622" t="s">
        <v>282</v>
      </c>
      <c r="B8" s="623"/>
      <c r="C8" s="98"/>
      <c r="D8" s="401"/>
      <c r="E8" s="401"/>
      <c r="F8" s="283"/>
      <c r="G8" s="284"/>
    </row>
    <row r="9" spans="1:8" s="151" customFormat="1" ht="15" customHeight="1">
      <c r="A9" s="441">
        <v>1</v>
      </c>
      <c r="B9" s="154" t="s">
        <v>268</v>
      </c>
      <c r="C9" s="155">
        <v>1</v>
      </c>
      <c r="D9" s="443">
        <f>'Aporte Alcaldia'!D9</f>
        <v>97398</v>
      </c>
      <c r="E9" s="443">
        <f>'Aporte Alcaldia'!E9</f>
        <v>4480.38</v>
      </c>
      <c r="F9" s="443">
        <f>SUM(D9:E9)</f>
        <v>101878.38</v>
      </c>
      <c r="G9" s="443">
        <f>SUM(F9/F6)</f>
        <v>5034.362491722918</v>
      </c>
      <c r="H9" s="617">
        <f>SUM(G9:G14)</f>
        <v>30200.86724054436</v>
      </c>
    </row>
    <row r="10" spans="1:8" s="151" customFormat="1" ht="15" customHeight="1">
      <c r="A10" s="441">
        <v>2</v>
      </c>
      <c r="B10" s="154" t="s">
        <v>267</v>
      </c>
      <c r="C10" s="155">
        <v>2</v>
      </c>
      <c r="D10" s="443">
        <f>'Aporte HPLS'!D10</f>
        <v>11680</v>
      </c>
      <c r="E10" s="443">
        <v>2375</v>
      </c>
      <c r="F10" s="443">
        <f aca="true" t="shared" si="0" ref="F10:F21">SUM(D10:E10)</f>
        <v>14055</v>
      </c>
      <c r="G10" s="443">
        <f>SUM(F10/F6)</f>
        <v>694.5336667226708</v>
      </c>
      <c r="H10" s="617"/>
    </row>
    <row r="11" spans="1:8" s="151" customFormat="1" ht="15" customHeight="1">
      <c r="A11" s="441">
        <v>3</v>
      </c>
      <c r="B11" s="154" t="s">
        <v>183</v>
      </c>
      <c r="C11" s="442" t="s">
        <v>186</v>
      </c>
      <c r="D11" s="443"/>
      <c r="E11" s="443">
        <f>'Presp por tipo Obra General'!F76+'Presp por tipo Obra General'!F80</f>
        <v>165391.41</v>
      </c>
      <c r="F11" s="443">
        <f t="shared" si="0"/>
        <v>165391.41</v>
      </c>
      <c r="G11" s="443">
        <f>SUM(F11/F6)</f>
        <v>8172.885267287984</v>
      </c>
      <c r="H11" s="617"/>
    </row>
    <row r="12" spans="1:8" s="151" customFormat="1" ht="15" customHeight="1">
      <c r="A12" s="441">
        <v>4</v>
      </c>
      <c r="B12" s="154" t="s">
        <v>184</v>
      </c>
      <c r="C12" s="442" t="s">
        <v>187</v>
      </c>
      <c r="D12" s="443">
        <v>0</v>
      </c>
      <c r="E12" s="443">
        <f>'Detalle por Obra pJAPON'!F34</f>
        <v>25088.6</v>
      </c>
      <c r="F12" s="443">
        <f t="shared" si="0"/>
        <v>25088.6</v>
      </c>
      <c r="G12" s="443">
        <f>SUM(F12/F6)</f>
        <v>1239.7635966516114</v>
      </c>
      <c r="H12" s="617"/>
    </row>
    <row r="13" spans="1:8" s="151" customFormat="1" ht="15" customHeight="1">
      <c r="A13" s="441">
        <v>5</v>
      </c>
      <c r="B13" s="154" t="s">
        <v>188</v>
      </c>
      <c r="C13" s="442" t="s">
        <v>189</v>
      </c>
      <c r="D13" s="443">
        <v>0</v>
      </c>
      <c r="E13" s="443">
        <f>'Presp por tipo Obra General'!F98+'Presp por tipo Obra General'!F102</f>
        <v>214034.32</v>
      </c>
      <c r="F13" s="443">
        <f>SUM(D13:E13)</f>
        <v>214034.32</v>
      </c>
      <c r="G13" s="443">
        <f>SUM(F13/F6)</f>
        <v>10576.594882539557</v>
      </c>
      <c r="H13" s="617"/>
    </row>
    <row r="14" spans="1:8" s="151" customFormat="1" ht="15" customHeight="1">
      <c r="A14" s="441">
        <v>6</v>
      </c>
      <c r="B14" s="154" t="s">
        <v>269</v>
      </c>
      <c r="C14" s="442" t="s">
        <v>259</v>
      </c>
      <c r="D14" s="443">
        <v>0</v>
      </c>
      <c r="E14" s="443">
        <f>'Presp por tipo Obra General'!F111</f>
        <v>90715.16</v>
      </c>
      <c r="F14" s="443">
        <f t="shared" si="0"/>
        <v>90715.16</v>
      </c>
      <c r="G14" s="443">
        <f>SUM(F14/F6)</f>
        <v>4482.72733561962</v>
      </c>
      <c r="H14" s="617"/>
    </row>
    <row r="15" spans="1:8" s="453" customFormat="1" ht="15" customHeight="1">
      <c r="A15" s="449">
        <v>7</v>
      </c>
      <c r="B15" s="450" t="s">
        <v>369</v>
      </c>
      <c r="C15" s="451" t="s">
        <v>259</v>
      </c>
      <c r="D15" s="452">
        <f>'Aporte Alcaldia'!D15</f>
        <v>76520</v>
      </c>
      <c r="E15" s="452">
        <v>0</v>
      </c>
      <c r="F15" s="452">
        <f t="shared" si="0"/>
        <v>76520</v>
      </c>
      <c r="G15" s="452">
        <f>SUM(F15/F6)</f>
        <v>3781.2676042418193</v>
      </c>
      <c r="H15" s="620">
        <f>SUM(G15:G18)</f>
        <v>7748.337171263947</v>
      </c>
    </row>
    <row r="16" spans="1:8" s="453" customFormat="1" ht="15" customHeight="1">
      <c r="A16" s="449">
        <v>8</v>
      </c>
      <c r="B16" s="450" t="s">
        <v>331</v>
      </c>
      <c r="C16" s="451" t="s">
        <v>332</v>
      </c>
      <c r="D16" s="452">
        <v>5560</v>
      </c>
      <c r="E16" s="452">
        <v>0</v>
      </c>
      <c r="F16" s="452">
        <f t="shared" si="0"/>
        <v>5560</v>
      </c>
      <c r="G16" s="452">
        <f>F16/F6</f>
        <v>274.74971091981854</v>
      </c>
      <c r="H16" s="620"/>
    </row>
    <row r="17" spans="1:8" s="453" customFormat="1" ht="15" customHeight="1">
      <c r="A17" s="449">
        <v>9</v>
      </c>
      <c r="B17" s="450" t="s">
        <v>272</v>
      </c>
      <c r="C17" s="451">
        <v>5</v>
      </c>
      <c r="D17" s="452">
        <v>1694</v>
      </c>
      <c r="E17" s="452">
        <v>65364</v>
      </c>
      <c r="F17" s="452">
        <f>SUM(D17:E17)</f>
        <v>67058</v>
      </c>
      <c r="G17" s="452">
        <f>F17/F6</f>
        <v>3313.698941521797</v>
      </c>
      <c r="H17" s="620"/>
    </row>
    <row r="18" spans="1:8" s="453" customFormat="1" ht="15" customHeight="1">
      <c r="A18" s="449">
        <v>10</v>
      </c>
      <c r="B18" s="450" t="s">
        <v>162</v>
      </c>
      <c r="C18" s="451">
        <v>4</v>
      </c>
      <c r="D18" s="452">
        <v>7662</v>
      </c>
      <c r="E18" s="452">
        <v>0</v>
      </c>
      <c r="F18" s="452">
        <f t="shared" si="0"/>
        <v>7662</v>
      </c>
      <c r="G18" s="452">
        <f>SUM(F18/F6)</f>
        <v>378.62091458051253</v>
      </c>
      <c r="H18" s="620"/>
    </row>
    <row r="19" spans="1:8" s="151" customFormat="1" ht="15" customHeight="1">
      <c r="A19" s="441">
        <v>11</v>
      </c>
      <c r="B19" s="154" t="s">
        <v>270</v>
      </c>
      <c r="C19" s="442" t="s">
        <v>253</v>
      </c>
      <c r="D19" s="443">
        <v>122620</v>
      </c>
      <c r="E19" s="443">
        <v>8236</v>
      </c>
      <c r="F19" s="443">
        <f>SUM(D19:E19)</f>
        <v>130856</v>
      </c>
      <c r="G19" s="443">
        <f>SUM(F19/F6)</f>
        <v>6466.303628079816</v>
      </c>
      <c r="H19" s="617">
        <f>SUM(G19:G20)</f>
        <v>32808.560232450116</v>
      </c>
    </row>
    <row r="20" spans="1:8" s="151" customFormat="1" ht="15" customHeight="1">
      <c r="A20" s="441">
        <v>12</v>
      </c>
      <c r="B20" s="154" t="s">
        <v>271</v>
      </c>
      <c r="C20" s="442" t="s">
        <v>255</v>
      </c>
      <c r="D20" s="443">
        <v>0</v>
      </c>
      <c r="E20" s="443">
        <f>'Presp por tipo Obra General'!F195+'Presp por tipo Obra General'!F223</f>
        <v>533077.71</v>
      </c>
      <c r="F20" s="443">
        <f t="shared" si="0"/>
        <v>533077.71</v>
      </c>
      <c r="G20" s="443">
        <f>SUM(F20/F6)</f>
        <v>26342.256604370297</v>
      </c>
      <c r="H20" s="617"/>
    </row>
    <row r="21" spans="1:8" s="453" customFormat="1" ht="15" customHeight="1" thickBot="1">
      <c r="A21" s="454">
        <v>13</v>
      </c>
      <c r="B21" s="450" t="s">
        <v>274</v>
      </c>
      <c r="C21" s="451">
        <v>109</v>
      </c>
      <c r="D21" s="452">
        <v>0</v>
      </c>
      <c r="E21" s="452">
        <f>'Aporte Alcaldia'!E21</f>
        <v>162622.22</v>
      </c>
      <c r="F21" s="452">
        <f t="shared" si="0"/>
        <v>162622.22</v>
      </c>
      <c r="G21" s="452">
        <f>F21/F6</f>
        <v>8036.0445924710675</v>
      </c>
      <c r="H21" s="440">
        <v>8036</v>
      </c>
    </row>
    <row r="22" spans="1:10" s="2" customFormat="1" ht="23.25" customHeight="1" thickBot="1" thickTop="1">
      <c r="A22" s="198"/>
      <c r="B22" s="618" t="s">
        <v>299</v>
      </c>
      <c r="C22" s="619"/>
      <c r="D22" s="91">
        <f>SUM(D8:D21)</f>
        <v>323134</v>
      </c>
      <c r="E22" s="91">
        <f>SUM(E9:E21)</f>
        <v>1271384.8</v>
      </c>
      <c r="F22" s="91">
        <f>SUM(F9:F21)</f>
        <v>1594518.8</v>
      </c>
      <c r="G22" s="122">
        <f>SUM(G9:G21)</f>
        <v>78793.80923672949</v>
      </c>
      <c r="H22" s="444">
        <v>63010</v>
      </c>
      <c r="I22" s="445">
        <f>SUM(H15+H21)</f>
        <v>15784.337171263947</v>
      </c>
      <c r="J22" s="455" t="s">
        <v>374</v>
      </c>
    </row>
    <row r="23" spans="4:10" ht="16.5" thickTop="1">
      <c r="D23" s="289"/>
      <c r="E23" s="16"/>
      <c r="F23" s="16"/>
      <c r="H23" s="456">
        <v>8598</v>
      </c>
      <c r="I23" s="457" t="s">
        <v>50</v>
      </c>
      <c r="J23" s="86"/>
    </row>
    <row r="24" spans="3:10" ht="15.75">
      <c r="C24" s="290"/>
      <c r="D24" s="16"/>
      <c r="E24" s="16"/>
      <c r="H24" s="456">
        <v>20973</v>
      </c>
      <c r="I24" s="458" t="s">
        <v>266</v>
      </c>
      <c r="J24" s="86"/>
    </row>
    <row r="25" spans="3:10" ht="18">
      <c r="C25" s="291"/>
      <c r="D25" s="292"/>
      <c r="E25" s="16"/>
      <c r="F25" s="293"/>
      <c r="G25" s="119"/>
      <c r="H25" s="447">
        <f>SUM(H22:H24)</f>
        <v>92581</v>
      </c>
      <c r="I25" s="448" t="s">
        <v>373</v>
      </c>
      <c r="J25" s="446"/>
    </row>
    <row r="26" spans="3:7" ht="15.75">
      <c r="C26" s="114"/>
      <c r="D26" s="294"/>
      <c r="E26" s="296"/>
      <c r="F26" s="296"/>
      <c r="G26" s="297"/>
    </row>
    <row r="27" spans="3:7" ht="15">
      <c r="C27" s="114"/>
      <c r="D27" s="115"/>
      <c r="E27" s="16"/>
      <c r="G27" s="116"/>
    </row>
    <row r="28" spans="4:7" ht="15.75">
      <c r="D28" s="115"/>
      <c r="E28" s="16"/>
      <c r="F28" s="118"/>
      <c r="G28" s="119"/>
    </row>
    <row r="29" spans="4:7" ht="12.75">
      <c r="D29" s="115"/>
      <c r="E29" s="16"/>
      <c r="F29" s="15"/>
      <c r="G29" s="113"/>
    </row>
    <row r="30" spans="4:7" ht="12.75">
      <c r="D30" s="115"/>
      <c r="E30" s="16"/>
      <c r="G30" s="121"/>
    </row>
    <row r="31" spans="4:5" ht="12.75">
      <c r="D31" s="115"/>
      <c r="E31" s="16"/>
    </row>
    <row r="32" spans="4:5" ht="12.75">
      <c r="D32" s="115"/>
      <c r="E32" s="16"/>
    </row>
  </sheetData>
  <sheetProtection/>
  <mergeCells count="11">
    <mergeCell ref="A1:H1"/>
    <mergeCell ref="A2:H2"/>
    <mergeCell ref="A3:H3"/>
    <mergeCell ref="A8:B8"/>
    <mergeCell ref="D6:E6"/>
    <mergeCell ref="A5:G5"/>
    <mergeCell ref="H9:H14"/>
    <mergeCell ref="H19:H20"/>
    <mergeCell ref="B22:C22"/>
    <mergeCell ref="A4:G4"/>
    <mergeCell ref="H15:H18"/>
  </mergeCells>
  <printOptions horizontalCentered="1" verticalCentered="1"/>
  <pageMargins left="0.32" right="0.3" top="0.8661417322834646" bottom="0.984251968503937" header="0.5118110236220472" footer="0.5905511811023623"/>
  <pageSetup horizontalDpi="180" verticalDpi="180" orientation="landscape" scale="70" r:id="rId1"/>
  <headerFooter alignWithMargins="0">
    <oddHeader>&amp;LProyecto de Agua Potable
Estudio de Factibilidad 2008&amp;RComunidad Mongallo/Negrowas
Municipio Siuna RAAN
</oddHeader>
    <oddFooter>&amp;L&amp;F
&amp;D
&amp;C&amp;P&amp;R APLV -Rio Blanco</oddFooter>
  </headerFooter>
  <ignoredErrors>
    <ignoredError sqref="F17:F18 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Blanco</dc:creator>
  <cp:keywords/>
  <dc:description/>
  <cp:lastModifiedBy>ETAP PC 4</cp:lastModifiedBy>
  <cp:lastPrinted>2010-02-11T22:39:17Z</cp:lastPrinted>
  <dcterms:created xsi:type="dcterms:W3CDTF">1999-08-31T19:45:24Z</dcterms:created>
  <dcterms:modified xsi:type="dcterms:W3CDTF">2010-07-26T20:07:33Z</dcterms:modified>
  <cp:category/>
  <cp:version/>
  <cp:contentType/>
  <cp:contentStatus/>
</cp:coreProperties>
</file>